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0"/>
  </bookViews>
  <sheets>
    <sheet name="calcul_cp" sheetId="1" r:id="rId1"/>
    <sheet name="Poursuite cp sur + 3 année" sheetId="2" r:id="rId2"/>
    <sheet name="Explication déduction CP" sheetId="3" r:id="rId3"/>
    <sheet name="Feuil1" sheetId="4" r:id="rId4"/>
  </sheets>
  <definedNames>
    <definedName name="_xlfn.NETWORKDAYS.INTL" hidden="1">#NAME?</definedName>
    <definedName name="cp">'Feuil1'!$A$1:$A$3</definedName>
    <definedName name="jours_ouvrables">'Feuil1'!$AK$1:$AK$2</definedName>
    <definedName name="oui_non">'Feuil1'!$B$1:$B$2</definedName>
    <definedName name="reference">'Feuil1'!$I$1:$I$3</definedName>
    <definedName name="total_cp_10_cent" localSheetId="1">'Poursuite cp sur + 3 année'!$J$40</definedName>
    <definedName name="total_cp_10_cent">'calcul_cp'!$J$40</definedName>
    <definedName name="total_cp_10_centb" localSheetId="1">'Poursuite cp sur + 3 année'!$J$69</definedName>
    <definedName name="total_cp_10_centb">'calcul_cp'!$J$69</definedName>
    <definedName name="total_cp_10_centc" localSheetId="1">'Poursuite cp sur + 3 année'!$J$98</definedName>
    <definedName name="total_cp_10_centc">'calcul_cp'!$J$98</definedName>
    <definedName name="total_cp_acquis" localSheetId="1">'Poursuite cp sur + 3 année'!$O$28</definedName>
    <definedName name="total_cp_acquis">'calcul_cp'!$O$28</definedName>
    <definedName name="total_cp_acquisb" localSheetId="1">'Poursuite cp sur + 3 année'!$O$57</definedName>
    <definedName name="total_cp_acquisb">'calcul_cp'!$O$57</definedName>
    <definedName name="total_cp_acquisc" localSheetId="1">'Poursuite cp sur + 3 année'!$O$86</definedName>
    <definedName name="total_cp_acquisc">'calcul_cp'!$O$86</definedName>
    <definedName name="valeur_cp_non_pris" localSheetId="1">'Poursuite cp sur + 3 année'!$O$27</definedName>
    <definedName name="valeur_cp_non_pris">'calcul_cp'!$O$27</definedName>
    <definedName name="valeur_cp_non_prisb" localSheetId="1">'Poursuite cp sur + 3 année'!$O$56</definedName>
    <definedName name="valeur_cp_non_prisb">'calcul_cp'!$O$56</definedName>
    <definedName name="valeur_cp_non_prisc" localSheetId="1">'Poursuite cp sur + 3 année'!$O$85</definedName>
    <definedName name="valeur_cp_non_prisc">'calcul_cp'!$O$85</definedName>
    <definedName name="valeur_cp_pris" localSheetId="1">'Poursuite cp sur + 3 année'!$O$29</definedName>
    <definedName name="valeur_cp_pris">'calcul_cp'!$O$29</definedName>
    <definedName name="valeur_cp_prisb" localSheetId="1">'Poursuite cp sur + 3 année'!$O$58</definedName>
    <definedName name="valeur_cp_prisb">'calcul_cp'!$O$58</definedName>
    <definedName name="valeur_cp_prisc" localSheetId="1">'Poursuite cp sur + 3 année'!$O$87</definedName>
    <definedName name="valeur_cp_prisc">'calcul_cp'!$O$87</definedName>
    <definedName name="_xlnm.Print_Area" localSheetId="0">'calcul_cp'!$A$1:$P$104</definedName>
    <definedName name="_xlnm.Print_Area" localSheetId="1">'Poursuite cp sur + 3 année'!$A$1:$P$104</definedName>
  </definedNames>
  <calcPr fullCalcOnLoad="1"/>
</workbook>
</file>

<file path=xl/comments1.xml><?xml version="1.0" encoding="utf-8"?>
<comments xmlns="http://schemas.openxmlformats.org/spreadsheetml/2006/main">
  <authors>
    <author>Marie No?lle PETITGAS</author>
    <author>Unsa</author>
    <author>utilisateur</author>
    <author>moii</author>
    <author>Utilisateur</author>
  </authors>
  <commentList>
    <comment ref="J19" authorId="0">
      <text>
        <r>
          <rPr>
            <sz val="9"/>
            <rFont val="Tahoma"/>
            <family val="2"/>
          </rPr>
          <t xml:space="preserve">Date de </t>
        </r>
        <r>
          <rPr>
            <b/>
            <sz val="9"/>
            <rFont val="Tahoma"/>
            <family val="2"/>
          </rPr>
          <t>début du contrat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ou</t>
        </r>
        <r>
          <rPr>
            <sz val="9"/>
            <rFont val="Tahoma"/>
            <family val="2"/>
          </rPr>
          <t xml:space="preserve"> de </t>
        </r>
        <r>
          <rPr>
            <b/>
            <sz val="9"/>
            <rFont val="Tahoma"/>
            <family val="2"/>
          </rPr>
          <t>début d'année de référence</t>
        </r>
        <r>
          <rPr>
            <sz val="9"/>
            <rFont val="Tahoma"/>
            <family val="2"/>
          </rPr>
          <t xml:space="preserve"> des congés payés fixée au contrat de travail - Format 00/00/0000</t>
        </r>
      </text>
    </comment>
    <comment ref="L19" authorId="0">
      <text>
        <r>
          <rPr>
            <sz val="9"/>
            <rFont val="Tahoma"/>
            <family val="2"/>
          </rPr>
          <t xml:space="preserve">Date de </t>
        </r>
        <r>
          <rPr>
            <b/>
            <sz val="9"/>
            <rFont val="Tahoma"/>
            <family val="2"/>
          </rPr>
          <t>fin d'année de référence</t>
        </r>
        <r>
          <rPr>
            <sz val="9"/>
            <rFont val="Tahoma"/>
            <family val="2"/>
          </rPr>
          <t xml:space="preserve"> des congés payés fixée au contrat de travail
</t>
        </r>
        <r>
          <rPr>
            <b/>
            <sz val="9"/>
            <rFont val="Tahoma"/>
            <family val="2"/>
          </rPr>
          <t>ou</t>
        </r>
        <r>
          <rPr>
            <sz val="9"/>
            <rFont val="Tahoma"/>
            <family val="2"/>
          </rPr>
          <t xml:space="preserve"> le cas échéant de rupture du contrat. Format 00/00/0000</t>
        </r>
      </text>
    </comment>
    <comment ref="L46" authorId="0">
      <text>
        <r>
          <rPr>
            <sz val="9"/>
            <rFont val="Tahoma"/>
            <family val="2"/>
          </rPr>
          <t xml:space="preserve">Date de fin d'année de référence des congés payés fixée au contrat de travail
</t>
        </r>
        <r>
          <rPr>
            <b/>
            <sz val="9"/>
            <rFont val="Tahoma"/>
            <family val="2"/>
          </rPr>
          <t>ou</t>
        </r>
        <r>
          <rPr>
            <sz val="9"/>
            <rFont val="Tahoma"/>
            <family val="2"/>
          </rPr>
          <t xml:space="preserve"> le cas échéant de rupture du contrat.
Format 00/00/0000</t>
        </r>
      </text>
    </comment>
    <comment ref="L75" authorId="0">
      <text>
        <r>
          <rPr>
            <sz val="9"/>
            <rFont val="Tahoma"/>
            <family val="2"/>
          </rPr>
          <t xml:space="preserve">Date de fin d'année de référence des congés payés fixée au contrat de travail
</t>
        </r>
        <r>
          <rPr>
            <b/>
            <sz val="9"/>
            <rFont val="Tahoma"/>
            <family val="2"/>
          </rPr>
          <t xml:space="preserve">ou </t>
        </r>
        <r>
          <rPr>
            <sz val="9"/>
            <rFont val="Tahoma"/>
            <family val="2"/>
          </rPr>
          <t>le cas échéant de rupture du contrat.
Format 00/00/0000</t>
        </r>
      </text>
    </comment>
    <comment ref="A13" authorId="1">
      <text>
        <r>
          <rPr>
            <b/>
            <sz val="11"/>
            <rFont val="Tahoma"/>
            <family val="2"/>
          </rPr>
          <t xml:space="preserve">Vos congés payés </t>
        </r>
        <r>
          <rPr>
            <b/>
            <sz val="11"/>
            <color indexed="10"/>
            <rFont val="Tahoma"/>
            <family val="2"/>
          </rPr>
          <t>ne sont pas inclus</t>
        </r>
        <r>
          <rPr>
            <b/>
            <sz val="11"/>
            <rFont val="Tahoma"/>
            <family val="2"/>
          </rPr>
          <t xml:space="preserve"> dans le calcul de la mensualisation mettre une croix (x)
Il ne peut être saisi 2 (x) croix </t>
        </r>
      </text>
    </comment>
    <comment ref="A14" authorId="1">
      <text>
        <r>
          <rPr>
            <b/>
            <sz val="9"/>
            <rFont val="Tahoma"/>
            <family val="2"/>
          </rPr>
          <t xml:space="preserve">Vos congés </t>
        </r>
        <r>
          <rPr>
            <b/>
            <sz val="9"/>
            <color indexed="10"/>
            <rFont val="Tahoma"/>
            <family val="2"/>
          </rPr>
          <t xml:space="preserve"> payés sont  inclus </t>
        </r>
        <r>
          <rPr>
            <b/>
            <sz val="9"/>
            <rFont val="Tahoma"/>
            <family val="2"/>
          </rPr>
          <t>dans le calcul de la mensualisation mettre une croix (x)</t>
        </r>
      </text>
    </comment>
    <comment ref="A12" authorId="1">
      <text>
        <r>
          <rPr>
            <sz val="9"/>
            <rFont val="Tahoma"/>
            <family val="2"/>
          </rPr>
          <t xml:space="preserve">Aide ,la touche x du clavier est celle utilisée
(ordre w </t>
        </r>
        <r>
          <rPr>
            <sz val="9"/>
            <color indexed="10"/>
            <rFont val="Tahoma"/>
            <family val="2"/>
          </rPr>
          <t>x</t>
        </r>
        <r>
          <rPr>
            <sz val="9"/>
            <rFont val="Tahoma"/>
            <family val="2"/>
          </rPr>
          <t xml:space="preserve"> c v b n... )</t>
        </r>
      </text>
    </comment>
    <comment ref="I23" authorId="1">
      <text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b/>
            <sz val="9"/>
            <color indexed="57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Indiquer le salaire mensualisé -</t>
        </r>
        <r>
          <rPr>
            <b/>
            <sz val="9"/>
            <color indexed="10"/>
            <rFont val="Tahoma"/>
            <family val="2"/>
          </rPr>
          <t xml:space="preserve"> Sans les heures compl ou suppl </t>
        </r>
        <r>
          <rPr>
            <sz val="9"/>
            <color indexed="8"/>
            <rFont val="Tahoma"/>
            <family val="2"/>
          </rPr>
          <t xml:space="preserve">- minoré le cas échéant en cas d'absence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 xml:space="preserve">Congés Payés Inclus </t>
        </r>
        <r>
          <rPr>
            <b/>
            <sz val="9"/>
            <color indexed="52"/>
            <rFont val="Tahoma"/>
            <family val="2"/>
          </rPr>
          <t>: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Indiquer le salaire mensualisé -</t>
        </r>
        <r>
          <rPr>
            <b/>
            <sz val="9"/>
            <color indexed="10"/>
            <rFont val="Tahoma"/>
            <family val="2"/>
          </rPr>
          <t xml:space="preserve"> Sans les heures compl ou supp</t>
        </r>
        <r>
          <rPr>
            <sz val="9"/>
            <color indexed="8"/>
            <rFont val="Tahoma"/>
            <family val="2"/>
          </rPr>
          <t xml:space="preserve"> - lminoré le cas échéant en cas d'absence</t>
        </r>
      </text>
    </comment>
    <comment ref="M23" authorId="1">
      <text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>Congés Payés Inclus</t>
        </r>
        <r>
          <rPr>
            <b/>
            <sz val="9"/>
            <color indexed="52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 xml:space="preserve">: </t>
        </r>
        <r>
          <rPr>
            <sz val="9"/>
            <rFont val="Tahoma"/>
            <family val="2"/>
          </rPr>
          <t>11% CP Heures complémentaires et supplémentaires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b/>
            <sz val="9"/>
            <color indexed="57"/>
            <rFont val="Tahoma"/>
            <family val="2"/>
          </rPr>
          <t>:</t>
        </r>
        <r>
          <rPr>
            <sz val="9"/>
            <color indexed="8"/>
            <rFont val="Tahoma"/>
            <family val="2"/>
          </rPr>
          <t xml:space="preserve">
Autre Formule de calcul intégrant mensuellement les 10% de CP dus sur le salaire de base et sur les H Compl et suppl et  </t>
        </r>
        <r>
          <rPr>
            <b/>
            <sz val="9"/>
            <color indexed="10"/>
            <rFont val="Tahoma"/>
            <family val="2"/>
          </rPr>
          <t>en fin d'année de référence seulement</t>
        </r>
        <r>
          <rPr>
            <sz val="9"/>
            <color indexed="8"/>
            <rFont val="Tahoma"/>
            <family val="2"/>
          </rPr>
          <t xml:space="preserve"> les 10% dus sur les  CP ( = montant équivalent cellule J 41)</t>
        </r>
      </text>
    </comment>
    <comment ref="J23" authorId="2">
      <text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>Congés Payés Inclus</t>
        </r>
        <r>
          <rPr>
            <sz val="9"/>
            <rFont val="Tahoma"/>
            <family val="2"/>
          </rPr>
          <t xml:space="preserve"> : Montant mensuel correspondant aux  CP </t>
        </r>
        <r>
          <rPr>
            <b/>
            <u val="single"/>
            <sz val="9"/>
            <rFont val="Tahoma"/>
            <family val="2"/>
          </rPr>
          <t>inclus dans le salaire</t>
        </r>
        <r>
          <rPr>
            <sz val="9"/>
            <rFont val="Tahoma"/>
            <family val="2"/>
          </rPr>
          <t xml:space="preserve">  </t>
        </r>
        <r>
          <rPr>
            <b/>
            <u val="single"/>
            <sz val="9"/>
            <color indexed="10"/>
            <rFont val="Tahoma"/>
            <family val="2"/>
          </rPr>
          <t>HORMIS CP</t>
        </r>
        <r>
          <rPr>
            <sz val="9"/>
            <color indexed="10"/>
            <rFont val="Tahoma"/>
            <family val="2"/>
          </rPr>
          <t xml:space="preserve"> Heures complémentaires et supplémentaires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sz val="9"/>
            <rFont val="Tahoma"/>
            <family val="2"/>
          </rPr>
          <t>:
Montant mensuel à</t>
        </r>
        <r>
          <rPr>
            <b/>
            <u val="single"/>
            <sz val="9"/>
            <rFont val="Tahoma"/>
            <family val="2"/>
          </rPr>
          <t xml:space="preserve"> verser en plus du salaire</t>
        </r>
        <r>
          <rPr>
            <sz val="9"/>
            <rFont val="Tahoma"/>
            <family val="2"/>
          </rPr>
          <t xml:space="preserve"> correspondant aux </t>
        </r>
        <r>
          <rPr>
            <b/>
            <sz val="9"/>
            <rFont val="Tahoma"/>
            <family val="2"/>
          </rPr>
          <t>11%</t>
        </r>
        <r>
          <rPr>
            <sz val="9"/>
            <rFont val="Tahoma"/>
            <family val="2"/>
          </rPr>
          <t xml:space="preserve"> de CP </t>
        </r>
        <r>
          <rPr>
            <b/>
            <u val="single"/>
            <sz val="9"/>
            <rFont val="Tahoma"/>
            <family val="2"/>
          </rPr>
          <t xml:space="preserve">sur le salaire mensuel de base càd   </t>
        </r>
        <r>
          <rPr>
            <b/>
            <u val="single"/>
            <sz val="9"/>
            <color indexed="10"/>
            <rFont val="Tahoma"/>
            <family val="2"/>
          </rPr>
          <t>HORMIS CP</t>
        </r>
        <r>
          <rPr>
            <b/>
            <u val="single"/>
            <sz val="9"/>
            <rFont val="Tahoma"/>
            <family val="2"/>
          </rPr>
          <t xml:space="preserve"> Heures complémentaires et supplémentaires</t>
        </r>
      </text>
    </comment>
    <comment ref="A23" authorId="2">
      <text>
        <r>
          <rPr>
            <b/>
            <sz val="9"/>
            <rFont val="Tahoma"/>
            <family val="2"/>
          </rPr>
          <t>Soit 2,5 jours ouvrables*/mois</t>
        </r>
        <r>
          <rPr>
            <sz val="9"/>
            <rFont val="Tahoma"/>
            <family val="2"/>
          </rPr>
          <t xml:space="preserve"> </t>
        </r>
        <r>
          <rPr>
            <b/>
            <u val="single"/>
            <sz val="9"/>
            <color indexed="10"/>
            <rFont val="Tahoma"/>
            <family val="2"/>
          </rPr>
          <t>quelque soit la durée effective de travail au cours du mois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En cas de début ou de fin de contrat au cours  du mois, il convient de vérifier le nombre de périodes de 4 semaines entre le début et la fin de l'année de référence : 2,5 jours ouvrables/période de  4 semaines.
</t>
        </r>
        <r>
          <rPr>
            <b/>
            <sz val="9"/>
            <rFont val="Tahoma"/>
            <family val="2"/>
          </rPr>
          <t>12 mois ou 12 périodes de 4 semaines = 30 jours ouvrables de congés payés acquis auxquels se rajoutent le  cas échéant les jours de fractionnement.</t>
        </r>
        <r>
          <rPr>
            <sz val="9"/>
            <rFont val="Tahoma"/>
            <family val="2"/>
          </rPr>
          <t xml:space="preserve">
Le contrat de travail ANAMAAF prévoit - selon la directive européenne - l'acquisition des congés payés en arrêt maladie non professionnelle. 
Les congés payés (2,5 jours ouvrables/mois) restent acquis durant le congé maternité - l'arrêt pour accident du travail et maladie professionnelle ainsi que durant la période de prise des congés payés.
Les semaines d'absence - non travaillées - de congés sans solde prises en compte dans le calcul de la mensualistion pour une modulation annuelle du salaire (temps partiel) , n' interfèrent nullement dans l'acquisition des droits au Congé payé acquis: un salarié à temps partiel - quelque soit la durée effective - acquiert autant de jours de congés payés </t>
        </r>
        <r>
          <rPr>
            <b/>
            <u val="single"/>
            <sz val="9"/>
            <rFont val="Tahoma"/>
            <family val="2"/>
          </rPr>
          <t>en durée</t>
        </r>
        <r>
          <rPr>
            <sz val="9"/>
            <rFont val="Tahoma"/>
            <family val="2"/>
          </rPr>
          <t xml:space="preserve"> qu'un salarié à temps plein. Seul le montant de la rémunération  de ces congés payés  est proportionnel au salaire versé pour le temps de travail prévu par le contrat.
</t>
        </r>
        <r>
          <rPr>
            <b/>
            <sz val="9"/>
            <rFont val="Tahoma"/>
            <family val="2"/>
          </rPr>
          <t>* Jours ouvrables = tous les jours de la semaine à l'exception du Dimanche et des jours fériés</t>
        </r>
      </text>
    </comment>
    <comment ref="J40" authorId="1">
      <text>
        <r>
          <rPr>
            <b/>
            <sz val="9"/>
            <color indexed="51"/>
            <rFont val="Tahoma"/>
            <family val="2"/>
          </rPr>
          <t>Mensualisation Congés payés inclus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Total des congés payés mensualisés et de ceux perçus ou à percevoir sur les heures complémentaires et supplémentaires</t>
        </r>
      </text>
    </comment>
    <comment ref="A52" authorId="1">
      <text>
        <r>
          <rPr>
            <b/>
            <sz val="9"/>
            <rFont val="Tahoma"/>
            <family val="2"/>
          </rPr>
          <t xml:space="preserve">Soit 2,5 jours ouvrables*/mois </t>
        </r>
        <r>
          <rPr>
            <b/>
            <u val="single"/>
            <sz val="9"/>
            <color indexed="53"/>
            <rFont val="Tahoma"/>
            <family val="2"/>
          </rPr>
          <t>quelque soit la durée effective de travail au cours du mois.</t>
        </r>
        <r>
          <rPr>
            <b/>
            <sz val="9"/>
            <color indexed="53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En cas de début ou de fin de contrat au cours  du mois, il convient de vérifier le nombre de périodes de 4 semaines entre le début et la fin de l'année de référence : 2,5 jours ouvrables/période de  4 semaines.</t>
        </r>
        <r>
          <rPr>
            <b/>
            <sz val="9"/>
            <rFont val="Tahoma"/>
            <family val="2"/>
          </rPr>
          <t xml:space="preserve">
12 mois ou 12 périodes de 4 semaines = 30 jours ouvrables de congés payés acquis auxquels se rajoutent le  cas échéant les jours de fractionnement.
</t>
        </r>
        <r>
          <rPr>
            <sz val="9"/>
            <color indexed="8"/>
            <rFont val="Tahoma"/>
            <family val="2"/>
          </rPr>
          <t xml:space="preserve">Le contrat de travail ANAMAAF prévoit - selon la directive européenne - l'acquisition des congés payés en arrêt maladie non professionnelle. 
Les congés payés (2,5 jours ouvrables/mois) restent acquis durant le congé maternité - l'arrêt pour accident du travail et maladie professionnelle ainsi que durant la période de prise des congés payés.
Les semaines d'absence - non travaillées - de congés sans solde prises en compte dans le calcul de la mensualistion pour une modulation annuelle du salaire (temps partiel) , n' interfèrent nullement dans l'acquisition des droits au Congé payé acquis: un salarié à temps partiel - quelque soit la durée effective - acquiert autant de jours de congés payés </t>
        </r>
        <r>
          <rPr>
            <b/>
            <sz val="9"/>
            <color indexed="8"/>
            <rFont val="Tahoma"/>
            <family val="2"/>
          </rPr>
          <t xml:space="preserve">en durée </t>
        </r>
        <r>
          <rPr>
            <sz val="9"/>
            <color indexed="8"/>
            <rFont val="Tahoma"/>
            <family val="2"/>
          </rPr>
          <t>qu'un salarié à temps plein. Seul le montant de la rémunération  de ces congés payés  est proportionnel au salaire versé pour le temps de travail prévu par le contrat.</t>
        </r>
        <r>
          <rPr>
            <b/>
            <sz val="9"/>
            <rFont val="Tahoma"/>
            <family val="2"/>
          </rPr>
          <t xml:space="preserve">
* Jours ouvrables = tous les jours de la semaine à l'exception du Dimanche et des jours fériés</t>
        </r>
      </text>
    </comment>
    <comment ref="A81" authorId="1">
      <text>
        <r>
          <rPr>
            <b/>
            <sz val="9"/>
            <rFont val="Tahoma"/>
            <family val="2"/>
          </rPr>
          <t xml:space="preserve">Soit 2,5 jours ouvrables*/mois </t>
        </r>
        <r>
          <rPr>
            <b/>
            <u val="single"/>
            <sz val="9"/>
            <color indexed="53"/>
            <rFont val="Tahoma"/>
            <family val="2"/>
          </rPr>
          <t>quelque soit la durée effective de travail au cours du mois.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En cas de début ou de fin de contrat au cours  du mois, il convient de vérifier le nombre de périodes de 4 semaines entre le début et la fin de l'année de référence : 2,5 jours ouvrables/période de  4 semaines.</t>
        </r>
        <r>
          <rPr>
            <b/>
            <sz val="9"/>
            <rFont val="Tahoma"/>
            <family val="2"/>
          </rPr>
          <t xml:space="preserve">
12 mois ou 12 périodes de 4 semaines = 30 jours ouvrables de congés payés acquis auxquels se rajoutent le  cas échéant les jours de fractionnement.
</t>
        </r>
        <r>
          <rPr>
            <sz val="10"/>
            <rFont val="Tahoma"/>
            <family val="2"/>
          </rPr>
          <t xml:space="preserve">Le contrat de travail ANAMAAF prévoit - selon la directive européenne - l'acquisition des congés payés en arrêt maladie non professionnelle. 
Les congés payés (2,5 jours ouvrables/mois) restent acquis durant le congé maternité - l'arrêt pour accident du travail et maladie professionnelle ainsi que durant la période de prise des congés payés.
Les semaines d'absence - non travaillées - de congés sans solde prises en compte dans le calcul de la mensualistion pour une modulation annuelle du salaire (temps partiel) , n' interfèrent nullement dans l'acquisition des droits au Congé payé acquis: un salarié à temps partiel - quelque soit la durée effective - acquiert autant de jours de congés payés </t>
        </r>
        <r>
          <rPr>
            <b/>
            <sz val="9"/>
            <rFont val="Tahoma"/>
            <family val="2"/>
          </rPr>
          <t>en durée</t>
        </r>
        <r>
          <rPr>
            <sz val="9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qu'un salarié à temps plein. Seul le montant de la rémunération  de ces congés payés  est proportionnel au salaire versé pour le temps de travail prévu par le contrat.</t>
        </r>
        <r>
          <rPr>
            <b/>
            <sz val="9"/>
            <rFont val="Tahoma"/>
            <family val="2"/>
          </rPr>
          <t xml:space="preserve">
* Jours ouvrables = tous les jours de la semaine à l'exception du Dimanche et des jours fériés</t>
        </r>
      </text>
    </comment>
    <comment ref="O33" authorId="1">
      <text>
        <r>
          <rPr>
            <sz val="9"/>
            <rFont val="Tahoma"/>
            <family val="2"/>
          </rPr>
          <t>Si cette période est une</t>
        </r>
        <r>
          <rPr>
            <b/>
            <sz val="9"/>
            <rFont val="Tahoma"/>
            <family val="2"/>
          </rPr>
          <t xml:space="preserve"> fin de contrat -</t>
        </r>
        <r>
          <rPr>
            <b/>
            <sz val="9"/>
            <color indexed="10"/>
            <rFont val="Tahoma"/>
            <family val="2"/>
          </rPr>
          <t xml:space="preserve"> cellule G22 cochée "OUI" - </t>
        </r>
        <r>
          <rPr>
            <sz val="9"/>
            <rFont val="Tahoma"/>
            <family val="2"/>
          </rPr>
          <t xml:space="preserve">la </t>
        </r>
        <r>
          <rPr>
            <b/>
            <sz val="9"/>
            <rFont val="Tahoma"/>
            <family val="2"/>
          </rPr>
          <t>cellule O33</t>
        </r>
        <r>
          <rPr>
            <sz val="9"/>
            <rFont val="Tahoma"/>
            <family val="2"/>
          </rPr>
          <t xml:space="preserve"> doit être </t>
        </r>
        <r>
          <rPr>
            <b/>
            <sz val="9"/>
            <rFont val="Tahoma"/>
            <family val="2"/>
          </rPr>
          <t>cochée "NON"</t>
        </r>
      </text>
    </comment>
    <comment ref="O38" authorId="1">
      <text>
        <r>
          <rPr>
            <sz val="9"/>
            <rFont val="Tahoma"/>
            <family val="2"/>
          </rPr>
          <t xml:space="preserve">Soit :
- </t>
        </r>
        <r>
          <rPr>
            <b/>
            <sz val="9"/>
            <rFont val="Tahoma"/>
            <family val="2"/>
          </rPr>
          <t>Si la cellule O31 est inactive :</t>
        </r>
        <r>
          <rPr>
            <sz val="9"/>
            <rFont val="Tahoma"/>
            <family val="2"/>
          </rPr>
          <t xml:space="preserve">
La somme est égale à la cellule O27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r>
        <r>
          <rPr>
            <sz val="9"/>
            <color indexed="10"/>
            <rFont val="Tahoma"/>
            <family val="2"/>
          </rPr>
          <t>en absence de report des congés</t>
        </r>
        <r>
          <rPr>
            <sz val="9"/>
            <rFont val="Tahoma"/>
            <family val="2"/>
          </rPr>
          <t xml:space="preserve">
La somme nulle </t>
        </r>
        <r>
          <rPr>
            <sz val="9"/>
            <color indexed="10"/>
            <rFont val="Tahoma"/>
            <family val="2"/>
          </rPr>
          <t>si report des congés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- Si la cellule O31 est active 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color indexed="10"/>
            <rFont val="Tahoma"/>
            <family val="2"/>
          </rPr>
          <t xml:space="preserve">Et </t>
        </r>
        <r>
          <rPr>
            <sz val="9"/>
            <color indexed="10"/>
            <rFont val="Tahoma"/>
            <family val="2"/>
          </rPr>
          <t>en absence de report des congés ,</t>
        </r>
        <r>
          <rPr>
            <sz val="9"/>
            <rFont val="Tahoma"/>
            <family val="2"/>
          </rPr>
          <t xml:space="preserve"> La somme est égale à la cellule O27 +O31 (soit la différence de la cellule O28 moins J40/41 au titre de régularisation du plus favorable et les CP acquis et non pris)
</t>
        </r>
        <r>
          <rPr>
            <sz val="9"/>
            <color indexed="10"/>
            <rFont val="Tahoma"/>
            <family val="2"/>
          </rPr>
          <t xml:space="preserve">Avec de report des congés </t>
        </r>
        <r>
          <rPr>
            <sz val="9"/>
            <rFont val="Tahoma"/>
            <family val="2"/>
          </rPr>
          <t xml:space="preserve">, la somme est égale à la cellule O31 au titre de régularisation du plus favorable </t>
        </r>
        <r>
          <rPr>
            <sz val="10"/>
            <rFont val="Tahoma"/>
            <family val="2"/>
          </rPr>
          <t xml:space="preserve">
</t>
        </r>
      </text>
    </comment>
    <comment ref="J69" authorId="2">
      <text>
        <r>
          <rPr>
            <b/>
            <sz val="9"/>
            <color indexed="51"/>
            <rFont val="Tahoma"/>
            <family val="2"/>
          </rPr>
          <t>Mensualisation Congés payés inclus</t>
        </r>
        <r>
          <rPr>
            <sz val="9"/>
            <rFont val="Tahoma"/>
            <family val="2"/>
          </rPr>
          <t xml:space="preserve">
Total des congés payés mensualisés et de ceux perçus ou à percevoir sur les heures complémentaires et supplémentaires</t>
        </r>
      </text>
    </comment>
    <comment ref="J98" authorId="2">
      <text>
        <r>
          <rPr>
            <b/>
            <sz val="9"/>
            <color indexed="51"/>
            <rFont val="Tahoma"/>
            <family val="2"/>
          </rPr>
          <t>Mensualisation Congés payés inclus</t>
        </r>
        <r>
          <rPr>
            <sz val="9"/>
            <rFont val="Tahoma"/>
            <family val="2"/>
          </rPr>
          <t xml:space="preserve">
Total des congés payés mensualisés et de ceux perçus ou à percevoir sur les heures complémentaires et supplémentaires</t>
        </r>
      </text>
    </comment>
    <comment ref="I17" authorId="2">
      <text>
        <r>
          <rPr>
            <sz val="9"/>
            <rFont val="Tahoma"/>
            <family val="2"/>
          </rPr>
          <t xml:space="preserve">Format 00/00/0000
</t>
        </r>
      </text>
    </comment>
    <comment ref="A39" authorId="1">
      <text>
        <r>
          <rPr>
            <sz val="11"/>
            <rFont val="Tahoma"/>
            <family val="2"/>
          </rPr>
          <t>*Déduction des CP en cas d’arrêt de travail pour maladie non professionnelle au-delà de  </t>
        </r>
        <r>
          <rPr>
            <sz val="11"/>
            <color indexed="10"/>
            <rFont val="Tahoma"/>
            <family val="2"/>
          </rPr>
          <t xml:space="preserve">38,4 </t>
        </r>
        <r>
          <rPr>
            <sz val="11"/>
            <rFont val="Tahoma"/>
            <family val="2"/>
          </rPr>
          <t xml:space="preserve">semaines/année de référence-Voir "onglet explication déduction CP"-
</t>
        </r>
      </text>
    </comment>
    <comment ref="E39" authorId="1">
      <text>
        <r>
          <rPr>
            <sz val="12"/>
            <rFont val="Tahoma"/>
            <family val="2"/>
          </rPr>
          <t xml:space="preserve"> Le contrat ANAMAAF est en conformité avec l’article 7 de la directive européenne CE 2003/88/CE du 04 novembre 2003, et la décision de la Cour de Justice Européenne  dans son arrêt du 24 Janvier 2012, - tout salarié absent en raison d’une maladie professionnelle ou non (ou en chômage partiel) a droit à un congé annuel payé d’au moins  4 semaines - c’est l’année de référence qui fixe le début et la fin – exemple un arrêt continu de 43 semaines réparti sur 2 années de référence   ne génère pas de déduction de jours de congés payés acquis
</t>
        </r>
        <r>
          <rPr>
            <sz val="11"/>
            <rFont val="Tahoma"/>
            <family val="2"/>
          </rPr>
          <t xml:space="preserve">
</t>
        </r>
      </text>
    </comment>
    <comment ref="E40" authorId="2">
      <text>
        <r>
          <rPr>
            <sz val="9"/>
            <rFont val="Tahoma"/>
            <family val="2"/>
          </rPr>
          <t xml:space="preserve">Les </t>
        </r>
        <r>
          <rPr>
            <b/>
            <sz val="9"/>
            <rFont val="Tahoma"/>
            <family val="2"/>
          </rPr>
          <t>congés payés</t>
        </r>
        <r>
          <rPr>
            <sz val="9"/>
            <rFont val="Tahoma"/>
            <family val="2"/>
          </rPr>
          <t xml:space="preserve"> se  prennent en </t>
        </r>
        <r>
          <rPr>
            <b/>
            <sz val="9"/>
            <rFont val="Tahoma"/>
            <family val="2"/>
          </rPr>
          <t>jour entier</t>
        </r>
        <r>
          <rPr>
            <sz val="9"/>
            <rFont val="Tahoma"/>
            <family val="2"/>
          </rPr>
          <t xml:space="preserve"> et sont </t>
        </r>
        <r>
          <rPr>
            <b/>
            <sz val="9"/>
            <rFont val="Tahoma"/>
            <family val="2"/>
          </rPr>
          <t>non fractionnables.</t>
        </r>
        <r>
          <rPr>
            <sz val="9"/>
            <rFont val="Tahoma"/>
            <family val="2"/>
          </rPr>
          <t xml:space="preserve">
</t>
        </r>
      </text>
    </comment>
    <comment ref="C41" authorId="2">
      <text>
        <r>
          <rPr>
            <sz val="9"/>
            <rFont val="Tahoma"/>
            <family val="2"/>
          </rPr>
          <t xml:space="preserve">Insérer le </t>
        </r>
        <r>
          <rPr>
            <b/>
            <sz val="9"/>
            <rFont val="Tahoma"/>
            <family val="2"/>
          </rPr>
          <t>nombre d'enfants du salarié</t>
        </r>
        <r>
          <rPr>
            <sz val="9"/>
            <rFont val="Tahoma"/>
            <family val="2"/>
          </rPr>
          <t xml:space="preserve"> âgée de</t>
        </r>
        <r>
          <rPr>
            <b/>
            <sz val="9"/>
            <rFont val="Tahoma"/>
            <family val="2"/>
          </rPr>
          <t xml:space="preserve"> moins de 15 ans* au 30 avril </t>
        </r>
        <r>
          <rPr>
            <sz val="9"/>
            <rFont val="Tahoma"/>
            <family val="2"/>
          </rPr>
          <t xml:space="preserve">de l'année civile en cours
Congés acquis </t>
        </r>
        <r>
          <rPr>
            <b/>
            <sz val="9"/>
            <rFont val="Tahoma"/>
            <family val="2"/>
          </rPr>
          <t>seulement la 1ère année de référence</t>
        </r>
        <r>
          <rPr>
            <sz val="9"/>
            <rFont val="Tahoma"/>
            <family val="2"/>
          </rPr>
          <t xml:space="preserve">  et  seulement si celle-ci ne comporte pas 12 mois de travail avec édition de 12 bulletins de  salaire 
* Sans condition d’âge pour les enfants handicapés vivant au domicile du salarié</t>
        </r>
      </text>
    </comment>
    <comment ref="D41" authorId="1">
      <text>
        <r>
          <rPr>
            <b/>
            <u val="single"/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>Congé supplémentaire par enfant à charge (</t>
        </r>
        <r>
          <rPr>
            <i/>
            <sz val="8"/>
            <rFont val="Tahoma"/>
            <family val="2"/>
          </rPr>
          <t>Est réputé enfant à charge l'enfant qui vit au foyer et est âgé de moins de quinze ans au 30 avril de l'année en cours.)</t>
        </r>
        <r>
          <rPr>
            <u val="single"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Indiquer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>/enfant à charge</t>
        </r>
        <r>
          <rPr>
            <sz val="9"/>
            <rFont val="Tahoma"/>
            <family val="2"/>
          </rPr>
          <t xml:space="preserve"> (Cf commentaire ci contre)  si vous êtes un salarié agée de </t>
        </r>
        <r>
          <rPr>
            <u val="single"/>
            <sz val="9"/>
            <color indexed="10"/>
            <rFont val="Tahoma"/>
            <family val="2"/>
          </rPr>
          <t>moins de 21 ans</t>
        </r>
        <r>
          <rPr>
            <u val="single"/>
            <sz val="9"/>
            <rFont val="Tahoma"/>
            <family val="2"/>
          </rPr>
          <t xml:space="preserve"> au 30 avril de l'année précédente</t>
        </r>
        <r>
          <rPr>
            <sz val="9"/>
            <rFont val="Tahoma"/>
            <family val="2"/>
          </rPr>
          <t xml:space="preserve"> et si le nombre de jours de</t>
        </r>
        <r>
          <rPr>
            <sz val="9"/>
            <color indexed="10"/>
            <rFont val="Tahoma"/>
            <family val="2"/>
          </rPr>
          <t xml:space="preserve"> </t>
        </r>
        <r>
          <rPr>
            <u val="single"/>
            <sz val="9"/>
            <color indexed="10"/>
            <rFont val="Tahoma"/>
            <family val="2"/>
          </rPr>
          <t>congés légaux acquis</t>
        </r>
        <r>
          <rPr>
            <sz val="9"/>
            <rFont val="Tahoma"/>
            <family val="2"/>
          </rPr>
          <t xml:space="preserve"> pour cette période  est de </t>
        </r>
        <r>
          <rPr>
            <u val="single"/>
            <sz val="9"/>
            <color indexed="10"/>
            <rFont val="Tahoma"/>
            <family val="2"/>
          </rPr>
          <t>6 jours maximum</t>
        </r>
        <r>
          <rPr>
            <sz val="9"/>
            <rFont val="Tahoma"/>
            <family val="2"/>
          </rPr>
          <t xml:space="preserve">.
</t>
        </r>
        <r>
          <rPr>
            <sz val="9"/>
            <color indexed="10"/>
            <rFont val="Tahoma"/>
            <family val="2"/>
          </rPr>
          <t>Dans tous les autres cas</t>
        </r>
        <r>
          <rPr>
            <sz val="9"/>
            <rFont val="Tahoma"/>
            <family val="2"/>
          </rPr>
          <t xml:space="preserve"> indiquer </t>
        </r>
        <r>
          <rPr>
            <b/>
            <sz val="9"/>
            <color indexed="10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/enfant à charge</t>
        </r>
        <r>
          <rPr>
            <sz val="9"/>
            <rFont val="Tahoma"/>
            <family val="2"/>
          </rPr>
          <t xml:space="preserve"> 
</t>
        </r>
      </text>
    </comment>
    <comment ref="E41" authorId="2">
      <text>
        <r>
          <rPr>
            <sz val="9"/>
            <rFont val="Tahoma"/>
            <family val="2"/>
          </rPr>
          <t xml:space="preserve">Congés acquis seulement la 1ère année de référence  et  seulement si celle-ci ne comporte pas 12 mois de travail avec édition de 12 bulletins de  salaire. 
</t>
        </r>
        <r>
          <rPr>
            <sz val="9"/>
            <color indexed="10"/>
            <rFont val="Tahoma"/>
            <family val="2"/>
          </rPr>
          <t xml:space="preserve">Ces jours de congés payés supplémentaires viennent </t>
        </r>
        <r>
          <rPr>
            <b/>
            <sz val="9"/>
            <color indexed="10"/>
            <rFont val="Tahoma"/>
            <family val="2"/>
          </rPr>
          <t>compléter jusqu' au maximum</t>
        </r>
        <r>
          <rPr>
            <sz val="9"/>
            <color indexed="10"/>
            <rFont val="Tahoma"/>
            <family val="2"/>
          </rPr>
          <t xml:space="preserve"> des 30 de congés légaux</t>
        </r>
        <r>
          <rPr>
            <sz val="9"/>
            <rFont val="Tahoma"/>
            <family val="2"/>
          </rPr>
          <t xml:space="preserve">
</t>
        </r>
      </text>
    </comment>
    <comment ref="E42" authorId="2">
      <text>
        <r>
          <rPr>
            <sz val="9"/>
            <rFont val="Tahoma"/>
            <family val="2"/>
          </rPr>
          <t xml:space="preserve">Jours de congés payés supplémentaires acquis si  maximum 24 jours ouvrables de congés pris* sont fractionnées en plusieurs fois (minimum obligatoire -si acquis -  12 jours ouvrables  consécutifs entre le 1er mai et le 31 octobre) :
- 2 jours de congés supplémentaires si 6 jours de congés sont pris séparément entre le 1er Novembre et le 30 Avril.
- 1 jour de congé supplémentaire si 3 à 5 jours de congés sont pris séparément entre le 1er Novembre et le 30 Avril..
* la 5ème semaine de congés payés n'entre pas dans le calcul du droit au jour de fractionnement .
</t>
        </r>
        <r>
          <rPr>
            <sz val="9"/>
            <color indexed="10"/>
            <rFont val="Tahoma"/>
            <family val="2"/>
          </rPr>
          <t xml:space="preserve">Ces jours de fractionnement </t>
        </r>
        <r>
          <rPr>
            <b/>
            <sz val="9"/>
            <color indexed="10"/>
            <rFont val="Tahoma"/>
            <family val="2"/>
          </rPr>
          <t xml:space="preserve">se cumulent en plus </t>
        </r>
        <r>
          <rPr>
            <sz val="9"/>
            <color indexed="10"/>
            <rFont val="Tahoma"/>
            <family val="2"/>
          </rPr>
          <t>du nombre de jours ce congés payés acquis.</t>
        </r>
        <r>
          <rPr>
            <sz val="9"/>
            <rFont val="Tahoma"/>
            <family val="2"/>
          </rPr>
          <t xml:space="preserve"> </t>
        </r>
      </text>
    </comment>
    <comment ref="E43" authorId="1">
      <text>
        <r>
          <rPr>
            <sz val="9"/>
            <rFont val="Tahoma"/>
            <family val="2"/>
          </rPr>
          <t xml:space="preserve">Total jours ouvrables acquis : Congés légaux - congés mère/père de famille le cas échéant et jours de fractionnement </t>
        </r>
        <r>
          <rPr>
            <b/>
            <i/>
            <u val="single"/>
            <sz val="9"/>
            <rFont val="Tahoma"/>
            <family val="2"/>
          </rPr>
          <t xml:space="preserve">
</t>
        </r>
      </text>
    </comment>
    <comment ref="A68" authorId="1">
      <text>
        <r>
          <rPr>
            <sz val="11"/>
            <rFont val="Tahoma"/>
            <family val="2"/>
          </rPr>
          <t>*Déduction des CP en cas d’arrêt de travail pour maladie non professionnelle au-delà de  </t>
        </r>
        <r>
          <rPr>
            <sz val="11"/>
            <color indexed="10"/>
            <rFont val="Tahoma"/>
            <family val="2"/>
          </rPr>
          <t xml:space="preserve">38,4 </t>
        </r>
        <r>
          <rPr>
            <sz val="11"/>
            <rFont val="Tahoma"/>
            <family val="2"/>
          </rPr>
          <t xml:space="preserve">semaines/année de référence-Voir onglet explication déduction CP-
</t>
        </r>
      </text>
    </comment>
    <comment ref="E68" authorId="1">
      <text>
        <r>
          <rPr>
            <sz val="11"/>
            <rFont val="Tahoma"/>
            <family val="2"/>
          </rPr>
          <t xml:space="preserve"> Le contrat ANAMAAF est en conformité avec l’article 7 de la directive européenne CE 2003/88/CE du 04 novembre 2003, et la décision de la Cour de Justice Européenne  dans son arrêt du 24 Janvier 2012, - tout salarié absent en raison d’une maladie professionnelle ou non (ou en chômage partiel) a droit à un congé annuel payé d’au moins  4 semaines - c’est l’année de référence qui fixe le début et la fin – exemple un arrêt continu de 43 semaines réparti sur 2 années de référence   ne génère pas de déduction de jours de congés payés acquis
</t>
        </r>
      </text>
    </comment>
    <comment ref="E69" authorId="2">
      <text>
        <r>
          <rPr>
            <sz val="9"/>
            <rFont val="Tahoma"/>
            <family val="2"/>
          </rPr>
          <t xml:space="preserve">Les </t>
        </r>
        <r>
          <rPr>
            <b/>
            <sz val="9"/>
            <rFont val="Tahoma"/>
            <family val="2"/>
          </rPr>
          <t>congés payés</t>
        </r>
        <r>
          <rPr>
            <sz val="9"/>
            <rFont val="Tahoma"/>
            <family val="2"/>
          </rPr>
          <t xml:space="preserve"> se  prennent en </t>
        </r>
        <r>
          <rPr>
            <b/>
            <sz val="9"/>
            <rFont val="Tahoma"/>
            <family val="2"/>
          </rPr>
          <t>jour entier</t>
        </r>
        <r>
          <rPr>
            <sz val="9"/>
            <rFont val="Tahoma"/>
            <family val="2"/>
          </rPr>
          <t xml:space="preserve"> et sont </t>
        </r>
        <r>
          <rPr>
            <b/>
            <sz val="9"/>
            <rFont val="Tahoma"/>
            <family val="2"/>
          </rPr>
          <t>non fractionnables.</t>
        </r>
        <r>
          <rPr>
            <sz val="9"/>
            <rFont val="Tahoma"/>
            <family val="2"/>
          </rPr>
          <t xml:space="preserve">
</t>
        </r>
      </text>
    </comment>
    <comment ref="E71" authorId="2">
      <text>
        <r>
          <rPr>
            <sz val="9"/>
            <rFont val="Tahoma"/>
            <family val="2"/>
          </rPr>
          <t xml:space="preserve">Jours de congés payés supplémenatires acquis si  maximum 24 jours ouvrables de congés pris* sont fractionnées en plusieurs fois (minimum obligatoire -si acquis -  12 jours ouvrables  consécutifs entre le 1er mai et le 31 octobre) :
- 2 jours de congés supplémentaires si 6 jours de congés sont pris séparément entre le 1er Novembre et le 30 Avril.
- 1 jour de congé supplémentaire si 3 à 5 jours de congés sont pris séparément entre le 1er Novembre et le 30 Avril..
* la 5ème semaine de congés payés n'entre pas dans le calcul du droit au jour de farctionnement .
</t>
        </r>
        <r>
          <rPr>
            <sz val="9"/>
            <color indexed="10"/>
            <rFont val="Tahoma"/>
            <family val="2"/>
          </rPr>
          <t xml:space="preserve">Ces jours de fractionnement </t>
        </r>
        <r>
          <rPr>
            <b/>
            <sz val="9"/>
            <color indexed="10"/>
            <rFont val="Tahoma"/>
            <family val="2"/>
          </rPr>
          <t>se cumulent en plus</t>
        </r>
        <r>
          <rPr>
            <sz val="9"/>
            <color indexed="10"/>
            <rFont val="Tahoma"/>
            <family val="2"/>
          </rPr>
          <t xml:space="preserve"> du nombre de jours ce congés payés acquis. </t>
        </r>
      </text>
    </comment>
    <comment ref="E72" authorId="1">
      <text>
        <r>
          <rPr>
            <sz val="9"/>
            <rFont val="Tahoma"/>
            <family val="2"/>
          </rPr>
          <t xml:space="preserve">Total jours ouvrables acquis : Congés légaux - avec report cas échéant et jours de fractionnement </t>
        </r>
      </text>
    </comment>
    <comment ref="A97" authorId="1">
      <text>
        <r>
          <rPr>
            <sz val="11"/>
            <rFont val="Tahoma"/>
            <family val="2"/>
          </rPr>
          <t>*Déduction des CP en cas d’arrêt de travail pour maladie non professionnelle au-delà de  </t>
        </r>
        <r>
          <rPr>
            <sz val="11"/>
            <color indexed="10"/>
            <rFont val="Tahoma"/>
            <family val="2"/>
          </rPr>
          <t xml:space="preserve">38,4 </t>
        </r>
        <r>
          <rPr>
            <sz val="11"/>
            <rFont val="Tahoma"/>
            <family val="2"/>
          </rPr>
          <t xml:space="preserve">semaines/année de référence-Voir onglet explication déduction CP-
</t>
        </r>
      </text>
    </comment>
    <comment ref="E97" authorId="1">
      <text>
        <r>
          <rPr>
            <sz val="11"/>
            <rFont val="Tahoma"/>
            <family val="2"/>
          </rPr>
          <t xml:space="preserve"> Le contrat ANAMAAF est en conformité avec l’article 7 de la directive européenne CE 2003/88/CE du 04 novembre 2003, et la décision de la Cour de Justice Européenne  dans son arrêt du 24 Janvier 2012, - tout salarié absent en raison d’une maladie professionnelle ou non (ou en chômage partiel) a droit à un congé annuel payé d’au moins  4 semaines - c’est l’année de référence qui fixe le début et la fin – exemple un arrêt continu de 43 semaines réparti sur 2 années de référence   ne génère pas de déduction de jours de congés payés acquis
</t>
        </r>
      </text>
    </comment>
    <comment ref="E98" authorId="2">
      <text>
        <r>
          <rPr>
            <sz val="9"/>
            <rFont val="Tahoma"/>
            <family val="2"/>
          </rPr>
          <t xml:space="preserve">Les </t>
        </r>
        <r>
          <rPr>
            <b/>
            <sz val="9"/>
            <rFont val="Tahoma"/>
            <family val="2"/>
          </rPr>
          <t>congés payés</t>
        </r>
        <r>
          <rPr>
            <sz val="9"/>
            <rFont val="Tahoma"/>
            <family val="2"/>
          </rPr>
          <t xml:space="preserve"> se  prennent en </t>
        </r>
        <r>
          <rPr>
            <b/>
            <sz val="9"/>
            <rFont val="Tahoma"/>
            <family val="2"/>
          </rPr>
          <t>jour entier</t>
        </r>
        <r>
          <rPr>
            <sz val="9"/>
            <rFont val="Tahoma"/>
            <family val="2"/>
          </rPr>
          <t xml:space="preserve"> et sont </t>
        </r>
        <r>
          <rPr>
            <b/>
            <sz val="9"/>
            <rFont val="Tahoma"/>
            <family val="2"/>
          </rPr>
          <t>non fractionnables.</t>
        </r>
        <r>
          <rPr>
            <sz val="9"/>
            <rFont val="Tahoma"/>
            <family val="2"/>
          </rPr>
          <t xml:space="preserve">
</t>
        </r>
      </text>
    </comment>
    <comment ref="E100" authorId="2">
      <text>
        <r>
          <rPr>
            <sz val="9"/>
            <rFont val="Tahoma"/>
            <family val="2"/>
          </rPr>
          <t xml:space="preserve">Jours de congés payés supplémenatires acquis si  maximum 24 jours ouvrables de congés pris* sont fractionnées en plusieurs fois (minimum obligatoire -si acquis -  12 jours ouvrables  consécutifs entre le 1er mai et le 31 octobre) :
- 2 jours de congés supplémentaires si 6 jours de congés sont pris séparément entre le 1er Novembre et le 30 Avril.
- 1 jour de congé supplémentaire si 3 à 5 jours de congés sont pris séparément entre le 1er Novembre et le 30 Avril..
* la 5ème semaine de congés payés n'entre pas dans le calcul du droit au jour de farctionnement .
</t>
        </r>
        <r>
          <rPr>
            <sz val="9"/>
            <color indexed="10"/>
            <rFont val="Tahoma"/>
            <family val="2"/>
          </rPr>
          <t xml:space="preserve">Ces jours de fractionnement </t>
        </r>
        <r>
          <rPr>
            <b/>
            <sz val="9"/>
            <color indexed="10"/>
            <rFont val="Tahoma"/>
            <family val="2"/>
          </rPr>
          <t>se cumulent en plus</t>
        </r>
        <r>
          <rPr>
            <sz val="9"/>
            <color indexed="10"/>
            <rFont val="Tahoma"/>
            <family val="2"/>
          </rPr>
          <t xml:space="preserve"> du nombre de jours ce congés payés acquis. </t>
        </r>
      </text>
    </comment>
    <comment ref="E101" authorId="1">
      <text>
        <r>
          <rPr>
            <sz val="9"/>
            <rFont val="Tahoma"/>
            <family val="2"/>
          </rPr>
          <t xml:space="preserve">Total jours ouvrables acquis : Congés légaux - avec report le cas échéant et jours de fractionnement </t>
        </r>
      </text>
    </comment>
    <comment ref="O25" authorId="3">
      <text>
        <r>
          <rPr>
            <sz val="9"/>
            <color indexed="8"/>
            <rFont val="Tahoma"/>
            <family val="2"/>
          </rPr>
          <t xml:space="preserve">Saisir le montant de la </t>
        </r>
        <r>
          <rPr>
            <u val="single"/>
            <sz val="9"/>
            <color indexed="8"/>
            <rFont val="Tahoma"/>
            <family val="2"/>
          </rPr>
          <t>mensualisation BRUT de base*</t>
        </r>
        <r>
          <rPr>
            <sz val="9"/>
            <color indexed="8"/>
            <rFont val="Tahoma"/>
            <family val="2"/>
          </rPr>
          <t xml:space="preserve"> en cours au moment de la prise des congés principaux  - Vérifier à la fin de l'année de référence et au moment de la rupture du contrat
*Les régularisations au titre d'heures complémentaires ou supplémentaires ainsi que les absences non rémunérées sont saisies dans la colonne J ou L</t>
        </r>
      </text>
    </comment>
    <comment ref="O27" authorId="1">
      <text>
        <r>
          <rPr>
            <sz val="9"/>
            <rFont val="Tahoma"/>
            <family val="2"/>
          </rPr>
          <t xml:space="preserve">Si </t>
        </r>
        <r>
          <rPr>
            <b/>
            <sz val="9"/>
            <color indexed="10"/>
            <rFont val="Tahoma"/>
            <family val="2"/>
          </rPr>
          <t>montant négatif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 congés payés </t>
        </r>
        <r>
          <rPr>
            <sz val="9"/>
            <color indexed="10"/>
            <rFont val="Tahoma"/>
            <family val="2"/>
          </rPr>
          <t>non acquis &amp; pris par anticipation</t>
        </r>
        <r>
          <rPr>
            <sz val="9"/>
            <rFont val="Tahoma"/>
            <family val="2"/>
          </rPr>
          <t xml:space="preserve"> au moment de  la rupture du contrat ou en fin d'année référence génèrant le remboursement  du trop perçu à l'employeur </t>
        </r>
      </text>
    </comment>
    <comment ref="O31" authorId="1">
      <text>
        <r>
          <rPr>
            <b/>
            <sz val="9"/>
            <color indexed="10"/>
            <rFont val="Tahoma"/>
            <family val="2"/>
          </rPr>
          <t>Régularisation à effectuer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Si le montant est négatif rien ne s'inscrit </t>
        </r>
      </text>
    </comment>
    <comment ref="O32" authorId="1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Méthode du 10ème </t>
        </r>
        <r>
          <rPr>
            <sz val="9"/>
            <rFont val="Tahoma"/>
            <family val="2"/>
          </rPr>
          <t xml:space="preserve">
</t>
        </r>
      </text>
    </comment>
    <comment ref="N38" authorId="1">
      <text>
        <r>
          <rPr>
            <sz val="9"/>
            <rFont val="Tahoma"/>
            <family val="2"/>
          </rPr>
          <t xml:space="preserve">Les congés payés </t>
        </r>
        <r>
          <rPr>
            <sz val="9"/>
            <color indexed="10"/>
            <rFont val="Tahoma"/>
            <family val="2"/>
          </rPr>
          <t xml:space="preserve">acquis &amp; </t>
        </r>
        <r>
          <rPr>
            <b/>
            <sz val="9"/>
            <color indexed="10"/>
            <rFont val="Tahoma"/>
            <family val="2"/>
          </rPr>
          <t>non pris</t>
        </r>
        <r>
          <rPr>
            <sz val="9"/>
            <rFont val="Tahoma"/>
            <family val="2"/>
          </rPr>
          <t xml:space="preserve"> au moment de  la rupture du contrat ou non reportés en fin d'année référence génèrent le versement  d' une indemnité compensatrice au salarié.
A contrario les congés payés</t>
        </r>
        <r>
          <rPr>
            <sz val="9"/>
            <color indexed="10"/>
            <rFont val="Tahoma"/>
            <family val="2"/>
          </rPr>
          <t xml:space="preserve"> non acquis &amp; pris par anticipation</t>
        </r>
        <r>
          <rPr>
            <sz val="9"/>
            <rFont val="Tahoma"/>
            <family val="2"/>
          </rPr>
          <t xml:space="preserve"> au moment de  la rupture du contrat ou non déduits de l'année référence suivante génèrent le remboursement  du trop perçu à l'employeur (Cf cellule O27 si négatif).Cependant la régularisation au titre de la méthode la plus favorable reste due.</t>
        </r>
        <r>
          <rPr>
            <sz val="11"/>
            <rFont val="Tahoma"/>
            <family val="2"/>
          </rPr>
          <t xml:space="preserve">
</t>
        </r>
      </text>
    </comment>
    <comment ref="O54" authorId="3">
      <text>
        <r>
          <rPr>
            <sz val="9"/>
            <color indexed="8"/>
            <rFont val="Tahoma"/>
            <family val="2"/>
          </rPr>
          <t xml:space="preserve">Saisir le montant de la </t>
        </r>
        <r>
          <rPr>
            <u val="single"/>
            <sz val="9"/>
            <color indexed="8"/>
            <rFont val="Tahoma"/>
            <family val="2"/>
          </rPr>
          <t>mensualisation BRUT de base*</t>
        </r>
        <r>
          <rPr>
            <sz val="9"/>
            <color indexed="8"/>
            <rFont val="Tahoma"/>
            <family val="2"/>
          </rPr>
          <t xml:space="preserve"> en cours au moment de la prise des congés principaux  - Vérifier à la fin de l'année de référence et au moment de la rupture du contrat
*Les régularisations au titre d'heures complémentaires ou supplémentaires ainsi que les absences non rémunérées sont saisies dans la colonne J ou L</t>
        </r>
      </text>
    </comment>
    <comment ref="O56" authorId="1">
      <text>
        <r>
          <rPr>
            <sz val="9"/>
            <rFont val="Tahoma"/>
            <family val="2"/>
          </rPr>
          <t xml:space="preserve">Si </t>
        </r>
        <r>
          <rPr>
            <b/>
            <sz val="9"/>
            <color indexed="10"/>
            <rFont val="Tahoma"/>
            <family val="2"/>
          </rPr>
          <t>montant négatif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 congés payés </t>
        </r>
        <r>
          <rPr>
            <sz val="9"/>
            <color indexed="10"/>
            <rFont val="Tahoma"/>
            <family val="2"/>
          </rPr>
          <t>non acquis &amp; pris par anticipation</t>
        </r>
        <r>
          <rPr>
            <sz val="9"/>
            <rFont val="Tahoma"/>
            <family val="2"/>
          </rPr>
          <t xml:space="preserve"> au moment de  la rupture du contrat ou en fin d'année référence génèrant le remboursement  du trop perçu à l'employeur </t>
        </r>
      </text>
    </comment>
    <comment ref="O60" authorId="1">
      <text>
        <r>
          <rPr>
            <b/>
            <sz val="9"/>
            <color indexed="10"/>
            <rFont val="Tahoma"/>
            <family val="2"/>
          </rPr>
          <t>Régularisation à effectuer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Si le montant est négatif rien ne s'inscrit </t>
        </r>
      </text>
    </comment>
    <comment ref="O61" authorId="1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Méthode du 10ème </t>
        </r>
        <r>
          <rPr>
            <sz val="9"/>
            <rFont val="Tahoma"/>
            <family val="2"/>
          </rPr>
          <t xml:space="preserve">
</t>
        </r>
      </text>
    </comment>
    <comment ref="O62" authorId="1">
      <text>
        <r>
          <rPr>
            <sz val="9"/>
            <rFont val="Tahoma"/>
            <family val="2"/>
          </rPr>
          <t>Si cette période est une</t>
        </r>
        <r>
          <rPr>
            <b/>
            <sz val="9"/>
            <rFont val="Tahoma"/>
            <family val="2"/>
          </rPr>
          <t xml:space="preserve"> fin de contrat -</t>
        </r>
        <r>
          <rPr>
            <b/>
            <sz val="9"/>
            <color indexed="10"/>
            <rFont val="Tahoma"/>
            <family val="2"/>
          </rPr>
          <t xml:space="preserve"> cellule G51 cochée "OUI" - </t>
        </r>
        <r>
          <rPr>
            <sz val="9"/>
            <rFont val="Tahoma"/>
            <family val="2"/>
          </rPr>
          <t xml:space="preserve">la </t>
        </r>
        <r>
          <rPr>
            <b/>
            <sz val="9"/>
            <rFont val="Tahoma"/>
            <family val="2"/>
          </rPr>
          <t>cellule O62</t>
        </r>
        <r>
          <rPr>
            <sz val="9"/>
            <rFont val="Tahoma"/>
            <family val="2"/>
          </rPr>
          <t xml:space="preserve"> doit être </t>
        </r>
        <r>
          <rPr>
            <b/>
            <sz val="9"/>
            <rFont val="Tahoma"/>
            <family val="2"/>
          </rPr>
          <t>cochée "NON"</t>
        </r>
      </text>
    </comment>
    <comment ref="N66" authorId="1">
      <text>
        <r>
          <rPr>
            <sz val="9"/>
            <rFont val="Tahoma"/>
            <family val="2"/>
          </rPr>
          <t xml:space="preserve">Les congés payés </t>
        </r>
        <r>
          <rPr>
            <sz val="9"/>
            <color indexed="10"/>
            <rFont val="Tahoma"/>
            <family val="2"/>
          </rPr>
          <t xml:space="preserve">acquis &amp; </t>
        </r>
        <r>
          <rPr>
            <b/>
            <sz val="9"/>
            <color indexed="10"/>
            <rFont val="Tahoma"/>
            <family val="2"/>
          </rPr>
          <t>non pris</t>
        </r>
        <r>
          <rPr>
            <sz val="9"/>
            <rFont val="Tahoma"/>
            <family val="2"/>
          </rPr>
          <t xml:space="preserve"> au moment de  la rupture du contrat ou non reportés en fin d'année référence génèrent le versement  d' une indemnité compensatrice au salarié.
A contrario les congés payés</t>
        </r>
        <r>
          <rPr>
            <sz val="9"/>
            <color indexed="10"/>
            <rFont val="Tahoma"/>
            <family val="2"/>
          </rPr>
          <t xml:space="preserve"> non acquis &amp; pris par anticipation</t>
        </r>
        <r>
          <rPr>
            <sz val="9"/>
            <rFont val="Tahoma"/>
            <family val="2"/>
          </rPr>
          <t xml:space="preserve"> au moment de  la rupture du contrat ou non déduits de l'année référence suivante génèrent le remboursement  du trop perçu à l'employeur (Cf cellule O56 si négatif).Cependant la régularisation au titre de la méthode la plus favorable reste due.</t>
        </r>
        <r>
          <rPr>
            <sz val="11"/>
            <rFont val="Tahoma"/>
            <family val="2"/>
          </rPr>
          <t xml:space="preserve">
</t>
        </r>
      </text>
    </comment>
    <comment ref="O66" authorId="1">
      <text>
        <r>
          <rPr>
            <sz val="9"/>
            <rFont val="Tahoma"/>
            <family val="2"/>
          </rPr>
          <t xml:space="preserve">Soit :
- </t>
        </r>
        <r>
          <rPr>
            <b/>
            <sz val="9"/>
            <rFont val="Tahoma"/>
            <family val="2"/>
          </rPr>
          <t>Si la cellule O60 est inactive :</t>
        </r>
        <r>
          <rPr>
            <sz val="9"/>
            <rFont val="Tahoma"/>
            <family val="2"/>
          </rPr>
          <t xml:space="preserve">
La somme est égale à la cellule O56 </t>
        </r>
        <r>
          <rPr>
            <sz val="9"/>
            <color indexed="10"/>
            <rFont val="Tahoma"/>
            <family val="2"/>
          </rPr>
          <t>en absence de report des congés</t>
        </r>
        <r>
          <rPr>
            <sz val="9"/>
            <rFont val="Tahoma"/>
            <family val="2"/>
          </rPr>
          <t xml:space="preserve">
La somme nulle </t>
        </r>
        <r>
          <rPr>
            <sz val="9"/>
            <color indexed="10"/>
            <rFont val="Tahoma"/>
            <family val="2"/>
          </rPr>
          <t>si report des congés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- Si la cellule O60 est active 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color indexed="10"/>
            <rFont val="Tahoma"/>
            <family val="2"/>
          </rPr>
          <t xml:space="preserve">Et </t>
        </r>
        <r>
          <rPr>
            <sz val="9"/>
            <color indexed="10"/>
            <rFont val="Tahoma"/>
            <family val="2"/>
          </rPr>
          <t>en absence de report des congés ,</t>
        </r>
        <r>
          <rPr>
            <sz val="9"/>
            <rFont val="Tahoma"/>
            <family val="2"/>
          </rPr>
          <t xml:space="preserve"> La somme est égale à la cellule O56 +O60 (soit la différence de la cellule O57 moins J69/70 au titre de régularisation du plus favorable et les CP acquis et non pris)
</t>
        </r>
        <r>
          <rPr>
            <sz val="9"/>
            <color indexed="10"/>
            <rFont val="Tahoma"/>
            <family val="2"/>
          </rPr>
          <t xml:space="preserve">Avec de report des congés </t>
        </r>
        <r>
          <rPr>
            <sz val="9"/>
            <rFont val="Tahoma"/>
            <family val="2"/>
          </rPr>
          <t xml:space="preserve">, la somme est égale à la cellule O60 au titre de régularisation du plus favorable 
</t>
        </r>
        <r>
          <rPr>
            <sz val="10"/>
            <rFont val="Tahoma"/>
            <family val="2"/>
          </rPr>
          <t xml:space="preserve">
</t>
        </r>
      </text>
    </comment>
    <comment ref="O83" authorId="3">
      <text>
        <r>
          <rPr>
            <sz val="9"/>
            <color indexed="8"/>
            <rFont val="Tahoma"/>
            <family val="2"/>
          </rPr>
          <t xml:space="preserve">Saisir le montant de la </t>
        </r>
        <r>
          <rPr>
            <u val="single"/>
            <sz val="9"/>
            <color indexed="8"/>
            <rFont val="Tahoma"/>
            <family val="2"/>
          </rPr>
          <t>mensualisation BRUT de base*</t>
        </r>
        <r>
          <rPr>
            <sz val="9"/>
            <color indexed="8"/>
            <rFont val="Tahoma"/>
            <family val="2"/>
          </rPr>
          <t xml:space="preserve"> en cours au moment de la prise des congés principaux  - Vérifier à la fin de l'année de référence et au moment de la rupture du contrat
*Les régularisations au titre d'heures complémentaires ou supplémentaires ainsi que les absences non rémunérées sont saisies dans la colonne J ou L</t>
        </r>
      </text>
    </comment>
    <comment ref="O85" authorId="1">
      <text>
        <r>
          <rPr>
            <sz val="9"/>
            <rFont val="Tahoma"/>
            <family val="2"/>
          </rPr>
          <t xml:space="preserve">Si </t>
        </r>
        <r>
          <rPr>
            <b/>
            <sz val="9"/>
            <color indexed="10"/>
            <rFont val="Tahoma"/>
            <family val="2"/>
          </rPr>
          <t>montant négatif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 congés payés </t>
        </r>
        <r>
          <rPr>
            <sz val="9"/>
            <color indexed="10"/>
            <rFont val="Tahoma"/>
            <family val="2"/>
          </rPr>
          <t>non acquis &amp; pris par anticipation</t>
        </r>
        <r>
          <rPr>
            <sz val="9"/>
            <rFont val="Tahoma"/>
            <family val="2"/>
          </rPr>
          <t xml:space="preserve"> au moment de  la rupture du contrat ou en fin d'année référence génèrant le remboursement  du trop perçu à l'employeur </t>
        </r>
      </text>
    </comment>
    <comment ref="O89" authorId="1">
      <text>
        <r>
          <rPr>
            <b/>
            <sz val="9"/>
            <color indexed="10"/>
            <rFont val="Tahoma"/>
            <family val="2"/>
          </rPr>
          <t>Régularisation à effectuer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Si le montant est négatif rien ne s'inscrit </t>
        </r>
      </text>
    </comment>
    <comment ref="O90" authorId="1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Méthode du 10ème </t>
        </r>
        <r>
          <rPr>
            <sz val="9"/>
            <rFont val="Tahoma"/>
            <family val="2"/>
          </rPr>
          <t xml:space="preserve">
</t>
        </r>
      </text>
    </comment>
    <comment ref="O91" authorId="1">
      <text>
        <r>
          <rPr>
            <sz val="9"/>
            <rFont val="Tahoma"/>
            <family val="2"/>
          </rPr>
          <t>Si cette période est une</t>
        </r>
        <r>
          <rPr>
            <b/>
            <sz val="9"/>
            <rFont val="Tahoma"/>
            <family val="2"/>
          </rPr>
          <t xml:space="preserve"> fin de contrat -</t>
        </r>
        <r>
          <rPr>
            <b/>
            <sz val="9"/>
            <color indexed="10"/>
            <rFont val="Tahoma"/>
            <family val="2"/>
          </rPr>
          <t xml:space="preserve"> cellule G80 cochée "OUI" - </t>
        </r>
        <r>
          <rPr>
            <sz val="9"/>
            <rFont val="Tahoma"/>
            <family val="2"/>
          </rPr>
          <t xml:space="preserve">la </t>
        </r>
        <r>
          <rPr>
            <b/>
            <sz val="9"/>
            <rFont val="Tahoma"/>
            <family val="2"/>
          </rPr>
          <t>cellule O91</t>
        </r>
        <r>
          <rPr>
            <sz val="9"/>
            <rFont val="Tahoma"/>
            <family val="2"/>
          </rPr>
          <t xml:space="preserve"> doit être </t>
        </r>
        <r>
          <rPr>
            <b/>
            <sz val="9"/>
            <rFont val="Tahoma"/>
            <family val="2"/>
          </rPr>
          <t>cochée "NON"</t>
        </r>
      </text>
    </comment>
    <comment ref="N95" authorId="1">
      <text>
        <r>
          <rPr>
            <sz val="9"/>
            <rFont val="Tahoma"/>
            <family val="2"/>
          </rPr>
          <t xml:space="preserve">Les congés payés </t>
        </r>
        <r>
          <rPr>
            <sz val="9"/>
            <color indexed="10"/>
            <rFont val="Tahoma"/>
            <family val="2"/>
          </rPr>
          <t xml:space="preserve">acquis &amp; </t>
        </r>
        <r>
          <rPr>
            <b/>
            <sz val="9"/>
            <color indexed="10"/>
            <rFont val="Tahoma"/>
            <family val="2"/>
          </rPr>
          <t>non pris</t>
        </r>
        <r>
          <rPr>
            <sz val="9"/>
            <rFont val="Tahoma"/>
            <family val="2"/>
          </rPr>
          <t xml:space="preserve"> au moment de  la rupture du contrat ou non reportés en fin d'année référence génèrent le versement  d' une indemnité compensatrice au salarié.
A contrario les congés payés</t>
        </r>
        <r>
          <rPr>
            <sz val="9"/>
            <color indexed="10"/>
            <rFont val="Tahoma"/>
            <family val="2"/>
          </rPr>
          <t xml:space="preserve"> non acquis &amp; pris par anticipation</t>
        </r>
        <r>
          <rPr>
            <sz val="9"/>
            <rFont val="Tahoma"/>
            <family val="2"/>
          </rPr>
          <t xml:space="preserve"> au moment de  la rupture du contrat ou non déduits de l'année référence suivante génèrent le remboursement  du trop perçu à l'employeur (Cf cellule O85 si négatif).Cependant la régularisation au titre de la méthode la plus favorable reste due.</t>
        </r>
        <r>
          <rPr>
            <sz val="11"/>
            <rFont val="Tahoma"/>
            <family val="2"/>
          </rPr>
          <t xml:space="preserve">
</t>
        </r>
      </text>
    </comment>
    <comment ref="O95" authorId="1">
      <text>
        <r>
          <rPr>
            <sz val="9"/>
            <rFont val="Tahoma"/>
            <family val="2"/>
          </rPr>
          <t xml:space="preserve">Soit :
- </t>
        </r>
        <r>
          <rPr>
            <b/>
            <sz val="9"/>
            <rFont val="Tahoma"/>
            <family val="2"/>
          </rPr>
          <t>Si la cellule O89 est inactive :</t>
        </r>
        <r>
          <rPr>
            <sz val="9"/>
            <rFont val="Tahoma"/>
            <family val="2"/>
          </rPr>
          <t xml:space="preserve">
La somme est égale à la cellule O85 </t>
        </r>
        <r>
          <rPr>
            <sz val="9"/>
            <color indexed="10"/>
            <rFont val="Tahoma"/>
            <family val="2"/>
          </rPr>
          <t>en absence de report des congés</t>
        </r>
        <r>
          <rPr>
            <sz val="9"/>
            <rFont val="Tahoma"/>
            <family val="2"/>
          </rPr>
          <t xml:space="preserve">
La somme nulle </t>
        </r>
        <r>
          <rPr>
            <sz val="9"/>
            <color indexed="10"/>
            <rFont val="Tahoma"/>
            <family val="2"/>
          </rPr>
          <t>si report des congés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- Si la cellule O89 est active 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color indexed="10"/>
            <rFont val="Tahoma"/>
            <family val="2"/>
          </rPr>
          <t xml:space="preserve">Et </t>
        </r>
        <r>
          <rPr>
            <sz val="9"/>
            <color indexed="10"/>
            <rFont val="Tahoma"/>
            <family val="2"/>
          </rPr>
          <t>en absence de report des congés ,</t>
        </r>
        <r>
          <rPr>
            <sz val="9"/>
            <rFont val="Tahoma"/>
            <family val="2"/>
          </rPr>
          <t xml:space="preserve"> La somme est égale à la cellule O85 +O89 (soit la différence de la cellule O86 moins J98/99 au titre de régularisation du plus favorable et les CP acquis et non pris)
</t>
        </r>
        <r>
          <rPr>
            <sz val="9"/>
            <color indexed="10"/>
            <rFont val="Tahoma"/>
            <family val="2"/>
          </rPr>
          <t xml:space="preserve">Avec de report des congés </t>
        </r>
        <r>
          <rPr>
            <sz val="9"/>
            <rFont val="Tahoma"/>
            <family val="2"/>
          </rPr>
          <t xml:space="preserve">, la somme est égale à la cellule O89 au titre de régularisation du plus favorable </t>
        </r>
        <r>
          <rPr>
            <sz val="10"/>
            <rFont val="Tahoma"/>
            <family val="2"/>
          </rPr>
          <t xml:space="preserve">
</t>
        </r>
      </text>
    </comment>
    <comment ref="L23" authorId="2">
      <text>
        <r>
          <rPr>
            <b/>
            <sz val="9"/>
            <color indexed="53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3"/>
            <rFont val="Tahoma"/>
            <family val="2"/>
          </rPr>
          <t xml:space="preserve">Congés Payés Inclus </t>
        </r>
        <r>
          <rPr>
            <b/>
            <sz val="9"/>
            <color indexed="57"/>
            <rFont val="Tahoma"/>
            <family val="2"/>
          </rPr>
          <t xml:space="preserve">: 
</t>
        </r>
        <r>
          <rPr>
            <sz val="9"/>
            <rFont val="Tahoma"/>
            <family val="2"/>
          </rPr>
          <t xml:space="preserve">Montant mensuel correspondant aux  11% de CP  sur les Heures complémentaires et supplémentaires </t>
        </r>
        <r>
          <rPr>
            <b/>
            <sz val="9"/>
            <color indexed="53"/>
            <rFont val="Tahoma"/>
            <family val="2"/>
          </rPr>
          <t>à verser en plus du salaire mensualisé de base</t>
        </r>
        <r>
          <rPr>
            <b/>
            <sz val="9"/>
            <color indexed="57"/>
            <rFont val="Tahoma"/>
            <family val="2"/>
          </rPr>
          <t xml:space="preserve">
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Inclus:</t>
        </r>
        <r>
          <rPr>
            <b/>
            <sz val="9"/>
            <color indexed="57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Montant mensuel</t>
        </r>
        <r>
          <rPr>
            <b/>
            <sz val="9"/>
            <color indexed="57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à verser en plus du salaire</t>
        </r>
        <r>
          <rPr>
            <sz val="9"/>
            <rFont val="Tahoma"/>
            <family val="2"/>
          </rPr>
          <t xml:space="preserve"> correspondant aux 11% de CP  Heures complémentaires et supplémentaires</t>
        </r>
        <r>
          <rPr>
            <b/>
            <sz val="9"/>
            <color indexed="57"/>
            <rFont val="Tahoma"/>
            <family val="2"/>
          </rPr>
          <t xml:space="preserve">
</t>
        </r>
      </text>
    </comment>
    <comment ref="K23" authorId="4">
      <text>
        <r>
          <rPr>
            <b/>
            <sz val="9"/>
            <color indexed="53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3"/>
            <rFont val="Tahoma"/>
            <family val="2"/>
          </rPr>
          <t>Congés Payés Inclus</t>
        </r>
        <r>
          <rPr>
            <b/>
            <sz val="9"/>
            <rFont val="Tahoma"/>
            <family val="2"/>
          </rPr>
          <t xml:space="preserve"> : 
</t>
        </r>
        <r>
          <rPr>
            <b/>
            <u val="single"/>
            <sz val="9"/>
            <color indexed="10"/>
            <rFont val="Tahoma"/>
            <family val="2"/>
          </rPr>
          <t>Indiquer séparément</t>
        </r>
        <r>
          <rPr>
            <sz val="9"/>
            <rFont val="Tahoma"/>
            <family val="2"/>
          </rPr>
          <t xml:space="preserve"> les salaires correspondant aux  Heures complémentaires et supplémentaires et </t>
        </r>
        <r>
          <rPr>
            <b/>
            <u val="single"/>
            <sz val="9"/>
            <color indexed="10"/>
            <rFont val="Tahoma"/>
            <family val="2"/>
          </rPr>
          <t xml:space="preserve">verse en plus du salaire de base </t>
        </r>
        <r>
          <rPr>
            <sz val="9"/>
            <rFont val="Tahoma"/>
            <family val="2"/>
          </rPr>
          <t>pour prendre en compte l exnération des cotisations et la défiscalisation sur le bulletin de salaire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17"/>
            <rFont val="Tahoma"/>
            <family val="2"/>
          </rPr>
          <t>Congés payés Non Inclus</t>
        </r>
        <r>
          <rPr>
            <b/>
            <sz val="9"/>
            <color indexed="17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color indexed="10"/>
            <rFont val="Tahoma"/>
            <family val="2"/>
          </rPr>
          <t xml:space="preserve">Indiquer séparément </t>
        </r>
        <r>
          <rPr>
            <sz val="9"/>
            <rFont val="Tahoma"/>
            <family val="2"/>
          </rPr>
          <t>les salaires correspondant aux  Heures complémentaires et supplémentaires pour prendre en compte l exnération des cotisations et la défiscalisation sur le bulletin de salaire</t>
        </r>
      </text>
    </comment>
    <comment ref="I52" authorId="1">
      <text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b/>
            <sz val="9"/>
            <color indexed="57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Indiquer le salaire mensualisé -</t>
        </r>
        <r>
          <rPr>
            <b/>
            <sz val="9"/>
            <color indexed="10"/>
            <rFont val="Tahoma"/>
            <family val="2"/>
          </rPr>
          <t xml:space="preserve"> Sans les heures compl ou suppl </t>
        </r>
        <r>
          <rPr>
            <sz val="9"/>
            <color indexed="8"/>
            <rFont val="Tahoma"/>
            <family val="2"/>
          </rPr>
          <t xml:space="preserve">- minoré le cas échéant en cas d'absence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 xml:space="preserve">Congés Payés Inclus </t>
        </r>
        <r>
          <rPr>
            <b/>
            <sz val="9"/>
            <color indexed="52"/>
            <rFont val="Tahoma"/>
            <family val="2"/>
          </rPr>
          <t>: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Indiquer le salaire mensualisé -</t>
        </r>
        <r>
          <rPr>
            <b/>
            <sz val="9"/>
            <color indexed="10"/>
            <rFont val="Tahoma"/>
            <family val="2"/>
          </rPr>
          <t xml:space="preserve"> Sans les heures compl ou supp</t>
        </r>
        <r>
          <rPr>
            <sz val="9"/>
            <color indexed="8"/>
            <rFont val="Tahoma"/>
            <family val="2"/>
          </rPr>
          <t xml:space="preserve"> - lminoré le cas échéant en cas d'absence</t>
        </r>
      </text>
    </comment>
    <comment ref="I81" authorId="1">
      <text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b/>
            <sz val="9"/>
            <color indexed="57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Indiquer le salaire mensualisé -</t>
        </r>
        <r>
          <rPr>
            <b/>
            <sz val="9"/>
            <color indexed="10"/>
            <rFont val="Tahoma"/>
            <family val="2"/>
          </rPr>
          <t xml:space="preserve"> Sans les heures compl ou suppl </t>
        </r>
        <r>
          <rPr>
            <sz val="9"/>
            <color indexed="8"/>
            <rFont val="Tahoma"/>
            <family val="2"/>
          </rPr>
          <t xml:space="preserve">- minoré le cas échéant en cas d'absence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 xml:space="preserve">Congés Payés Inclus </t>
        </r>
        <r>
          <rPr>
            <b/>
            <sz val="9"/>
            <color indexed="52"/>
            <rFont val="Tahoma"/>
            <family val="2"/>
          </rPr>
          <t>: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Indiquer le salaire mensualisé -</t>
        </r>
        <r>
          <rPr>
            <b/>
            <sz val="9"/>
            <color indexed="10"/>
            <rFont val="Tahoma"/>
            <family val="2"/>
          </rPr>
          <t xml:space="preserve"> Sans les heures compl ou supp</t>
        </r>
        <r>
          <rPr>
            <sz val="9"/>
            <color indexed="8"/>
            <rFont val="Tahoma"/>
            <family val="2"/>
          </rPr>
          <t xml:space="preserve"> - lminoré le cas échéant en cas d'absence</t>
        </r>
      </text>
    </comment>
    <comment ref="J52" authorId="2">
      <text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>Congés Payés Inclus</t>
        </r>
        <r>
          <rPr>
            <sz val="9"/>
            <rFont val="Tahoma"/>
            <family val="2"/>
          </rPr>
          <t xml:space="preserve"> : Montant mensuel correspondant aux  CP </t>
        </r>
        <r>
          <rPr>
            <b/>
            <u val="single"/>
            <sz val="9"/>
            <rFont val="Tahoma"/>
            <family val="2"/>
          </rPr>
          <t>inclus dans le salaire</t>
        </r>
        <r>
          <rPr>
            <sz val="9"/>
            <rFont val="Tahoma"/>
            <family val="2"/>
          </rPr>
          <t xml:space="preserve">  </t>
        </r>
        <r>
          <rPr>
            <b/>
            <u val="single"/>
            <sz val="9"/>
            <color indexed="10"/>
            <rFont val="Tahoma"/>
            <family val="2"/>
          </rPr>
          <t>HORMIS CP</t>
        </r>
        <r>
          <rPr>
            <sz val="9"/>
            <color indexed="10"/>
            <rFont val="Tahoma"/>
            <family val="2"/>
          </rPr>
          <t xml:space="preserve"> Heures complémentaires et supplémentaires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sz val="9"/>
            <rFont val="Tahoma"/>
            <family val="2"/>
          </rPr>
          <t>:
Montant mensuel à</t>
        </r>
        <r>
          <rPr>
            <b/>
            <u val="single"/>
            <sz val="9"/>
            <rFont val="Tahoma"/>
            <family val="2"/>
          </rPr>
          <t xml:space="preserve"> verser en plus du salaire</t>
        </r>
        <r>
          <rPr>
            <sz val="9"/>
            <rFont val="Tahoma"/>
            <family val="2"/>
          </rPr>
          <t xml:space="preserve"> correspondant aux </t>
        </r>
        <r>
          <rPr>
            <b/>
            <sz val="9"/>
            <rFont val="Tahoma"/>
            <family val="2"/>
          </rPr>
          <t>11%</t>
        </r>
        <r>
          <rPr>
            <sz val="9"/>
            <rFont val="Tahoma"/>
            <family val="2"/>
          </rPr>
          <t xml:space="preserve"> de CP </t>
        </r>
        <r>
          <rPr>
            <b/>
            <u val="single"/>
            <sz val="9"/>
            <rFont val="Tahoma"/>
            <family val="2"/>
          </rPr>
          <t xml:space="preserve">sur le salaire mensuel de base càd   </t>
        </r>
        <r>
          <rPr>
            <b/>
            <u val="single"/>
            <sz val="9"/>
            <color indexed="10"/>
            <rFont val="Tahoma"/>
            <family val="2"/>
          </rPr>
          <t>HORMIS CP</t>
        </r>
        <r>
          <rPr>
            <b/>
            <u val="single"/>
            <sz val="9"/>
            <rFont val="Tahoma"/>
            <family val="2"/>
          </rPr>
          <t xml:space="preserve"> Heures complémentaires et supplémentaires</t>
        </r>
      </text>
    </comment>
    <comment ref="J81" authorId="2">
      <text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>Congés Payés Inclus</t>
        </r>
        <r>
          <rPr>
            <sz val="9"/>
            <rFont val="Tahoma"/>
            <family val="2"/>
          </rPr>
          <t xml:space="preserve"> : Montant mensuel correspondant aux  CP </t>
        </r>
        <r>
          <rPr>
            <b/>
            <u val="single"/>
            <sz val="9"/>
            <rFont val="Tahoma"/>
            <family val="2"/>
          </rPr>
          <t>inclus dans le salaire</t>
        </r>
        <r>
          <rPr>
            <sz val="9"/>
            <rFont val="Tahoma"/>
            <family val="2"/>
          </rPr>
          <t xml:space="preserve">  </t>
        </r>
        <r>
          <rPr>
            <b/>
            <u val="single"/>
            <sz val="9"/>
            <color indexed="10"/>
            <rFont val="Tahoma"/>
            <family val="2"/>
          </rPr>
          <t>HORMIS CP</t>
        </r>
        <r>
          <rPr>
            <sz val="9"/>
            <color indexed="10"/>
            <rFont val="Tahoma"/>
            <family val="2"/>
          </rPr>
          <t xml:space="preserve"> Heures complémentaires et supplémentaires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sz val="9"/>
            <rFont val="Tahoma"/>
            <family val="2"/>
          </rPr>
          <t>:
Montant mensuel à</t>
        </r>
        <r>
          <rPr>
            <b/>
            <u val="single"/>
            <sz val="9"/>
            <rFont val="Tahoma"/>
            <family val="2"/>
          </rPr>
          <t xml:space="preserve"> verser en plus du salaire</t>
        </r>
        <r>
          <rPr>
            <sz val="9"/>
            <rFont val="Tahoma"/>
            <family val="2"/>
          </rPr>
          <t xml:space="preserve"> correspondant aux </t>
        </r>
        <r>
          <rPr>
            <b/>
            <sz val="9"/>
            <rFont val="Tahoma"/>
            <family val="2"/>
          </rPr>
          <t>11%</t>
        </r>
        <r>
          <rPr>
            <sz val="9"/>
            <rFont val="Tahoma"/>
            <family val="2"/>
          </rPr>
          <t xml:space="preserve"> de CP </t>
        </r>
        <r>
          <rPr>
            <b/>
            <u val="single"/>
            <sz val="9"/>
            <rFont val="Tahoma"/>
            <family val="2"/>
          </rPr>
          <t xml:space="preserve">sur le salaire mensuel de base càd   </t>
        </r>
        <r>
          <rPr>
            <b/>
            <u val="single"/>
            <sz val="9"/>
            <color indexed="10"/>
            <rFont val="Tahoma"/>
            <family val="2"/>
          </rPr>
          <t>HORMIS CP</t>
        </r>
        <r>
          <rPr>
            <b/>
            <u val="single"/>
            <sz val="9"/>
            <rFont val="Tahoma"/>
            <family val="2"/>
          </rPr>
          <t xml:space="preserve"> Heures complémentaires et supplémentaires</t>
        </r>
      </text>
    </comment>
    <comment ref="K52" authorId="4">
      <text>
        <r>
          <rPr>
            <b/>
            <sz val="9"/>
            <color indexed="53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3"/>
            <rFont val="Tahoma"/>
            <family val="2"/>
          </rPr>
          <t>Congés Payés Inclus</t>
        </r>
        <r>
          <rPr>
            <b/>
            <sz val="9"/>
            <rFont val="Tahoma"/>
            <family val="2"/>
          </rPr>
          <t xml:space="preserve"> : 
</t>
        </r>
        <r>
          <rPr>
            <b/>
            <u val="single"/>
            <sz val="9"/>
            <color indexed="10"/>
            <rFont val="Tahoma"/>
            <family val="2"/>
          </rPr>
          <t>Indiquer séparément</t>
        </r>
        <r>
          <rPr>
            <sz val="9"/>
            <rFont val="Tahoma"/>
            <family val="2"/>
          </rPr>
          <t xml:space="preserve"> les salaires correspondant aux  Heures complémentaires et supplémentaires et </t>
        </r>
        <r>
          <rPr>
            <b/>
            <u val="single"/>
            <sz val="9"/>
            <color indexed="10"/>
            <rFont val="Tahoma"/>
            <family val="2"/>
          </rPr>
          <t xml:space="preserve">verse en plus du salaire de base </t>
        </r>
        <r>
          <rPr>
            <sz val="9"/>
            <rFont val="Tahoma"/>
            <family val="2"/>
          </rPr>
          <t>pour prendre en compte l exnération des cotisations et la défiscalisation sur le bulletin de salaire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17"/>
            <rFont val="Tahoma"/>
            <family val="2"/>
          </rPr>
          <t>Congés payés Non Inclus</t>
        </r>
        <r>
          <rPr>
            <b/>
            <sz val="9"/>
            <color indexed="17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color indexed="10"/>
            <rFont val="Tahoma"/>
            <family val="2"/>
          </rPr>
          <t xml:space="preserve">Indiquer séparément </t>
        </r>
        <r>
          <rPr>
            <sz val="9"/>
            <rFont val="Tahoma"/>
            <family val="2"/>
          </rPr>
          <t>les salaires correspondant aux  Heures complémentaires et supplémentaires pour prendre en compte l exnération des cotisations et la défiscalisation sur le bulletin de salaire</t>
        </r>
      </text>
    </comment>
    <comment ref="K81" authorId="4">
      <text>
        <r>
          <rPr>
            <b/>
            <sz val="9"/>
            <color indexed="53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3"/>
            <rFont val="Tahoma"/>
            <family val="2"/>
          </rPr>
          <t>Congés Payés Inclus</t>
        </r>
        <r>
          <rPr>
            <b/>
            <sz val="9"/>
            <rFont val="Tahoma"/>
            <family val="2"/>
          </rPr>
          <t xml:space="preserve"> : 
</t>
        </r>
        <r>
          <rPr>
            <b/>
            <u val="single"/>
            <sz val="9"/>
            <color indexed="10"/>
            <rFont val="Tahoma"/>
            <family val="2"/>
          </rPr>
          <t>Indiquer séparément</t>
        </r>
        <r>
          <rPr>
            <sz val="9"/>
            <rFont val="Tahoma"/>
            <family val="2"/>
          </rPr>
          <t xml:space="preserve"> les salaires correspondant aux  Heures complémentaires et supplémentaires et </t>
        </r>
        <r>
          <rPr>
            <b/>
            <u val="single"/>
            <sz val="9"/>
            <color indexed="10"/>
            <rFont val="Tahoma"/>
            <family val="2"/>
          </rPr>
          <t xml:space="preserve">verse en plus du salaire de base </t>
        </r>
        <r>
          <rPr>
            <sz val="9"/>
            <rFont val="Tahoma"/>
            <family val="2"/>
          </rPr>
          <t>pour prendre en compte l exnération des cotisations et la défiscalisation sur le bulletin de salaire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17"/>
            <rFont val="Tahoma"/>
            <family val="2"/>
          </rPr>
          <t>Congés payés Non Inclus</t>
        </r>
        <r>
          <rPr>
            <b/>
            <sz val="9"/>
            <color indexed="17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color indexed="10"/>
            <rFont val="Tahoma"/>
            <family val="2"/>
          </rPr>
          <t xml:space="preserve">Indiquer séparément </t>
        </r>
        <r>
          <rPr>
            <sz val="9"/>
            <rFont val="Tahoma"/>
            <family val="2"/>
          </rPr>
          <t>les salaires correspondant aux  Heures complémentaires et supplémentaires pour prendre en compte l exnération des cotisations et la défiscalisation sur le bulletin de salaire</t>
        </r>
      </text>
    </comment>
    <comment ref="L52" authorId="2">
      <text>
        <r>
          <rPr>
            <b/>
            <sz val="9"/>
            <color indexed="53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3"/>
            <rFont val="Tahoma"/>
            <family val="2"/>
          </rPr>
          <t xml:space="preserve">Congés Payés Inclus </t>
        </r>
        <r>
          <rPr>
            <b/>
            <sz val="9"/>
            <color indexed="57"/>
            <rFont val="Tahoma"/>
            <family val="2"/>
          </rPr>
          <t xml:space="preserve">: 
</t>
        </r>
        <r>
          <rPr>
            <sz val="9"/>
            <rFont val="Tahoma"/>
            <family val="2"/>
          </rPr>
          <t xml:space="preserve">Montant mensuel correspondant aux  11% de CP  sur les Heures complémentaires et supplémentaires </t>
        </r>
        <r>
          <rPr>
            <b/>
            <sz val="9"/>
            <color indexed="53"/>
            <rFont val="Tahoma"/>
            <family val="2"/>
          </rPr>
          <t>à verser en plus du salaire mensualisé de base</t>
        </r>
        <r>
          <rPr>
            <b/>
            <sz val="9"/>
            <color indexed="57"/>
            <rFont val="Tahoma"/>
            <family val="2"/>
          </rPr>
          <t xml:space="preserve">
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Inclus:</t>
        </r>
        <r>
          <rPr>
            <b/>
            <sz val="9"/>
            <color indexed="57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Montant mensuel</t>
        </r>
        <r>
          <rPr>
            <b/>
            <sz val="9"/>
            <color indexed="57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à verser en plus du salaire</t>
        </r>
        <r>
          <rPr>
            <sz val="9"/>
            <rFont val="Tahoma"/>
            <family val="2"/>
          </rPr>
          <t xml:space="preserve"> correspondant aux 11% de CP  Heures complémentaires et supplémentaires</t>
        </r>
        <r>
          <rPr>
            <b/>
            <sz val="9"/>
            <color indexed="57"/>
            <rFont val="Tahoma"/>
            <family val="2"/>
          </rPr>
          <t xml:space="preserve">
</t>
        </r>
      </text>
    </comment>
    <comment ref="L81" authorId="2">
      <text>
        <r>
          <rPr>
            <b/>
            <sz val="9"/>
            <color indexed="53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3"/>
            <rFont val="Tahoma"/>
            <family val="2"/>
          </rPr>
          <t xml:space="preserve">Congés Payés Inclus </t>
        </r>
        <r>
          <rPr>
            <b/>
            <sz val="9"/>
            <color indexed="57"/>
            <rFont val="Tahoma"/>
            <family val="2"/>
          </rPr>
          <t xml:space="preserve">: 
</t>
        </r>
        <r>
          <rPr>
            <sz val="9"/>
            <rFont val="Tahoma"/>
            <family val="2"/>
          </rPr>
          <t xml:space="preserve">Montant mensuel correspondant aux  11% de CP  sur les Heures complémentaires et supplémentaires </t>
        </r>
        <r>
          <rPr>
            <b/>
            <sz val="9"/>
            <color indexed="53"/>
            <rFont val="Tahoma"/>
            <family val="2"/>
          </rPr>
          <t>à verser en plus du salaire mensualisé de base</t>
        </r>
        <r>
          <rPr>
            <b/>
            <sz val="9"/>
            <color indexed="57"/>
            <rFont val="Tahoma"/>
            <family val="2"/>
          </rPr>
          <t xml:space="preserve">
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Inclus:</t>
        </r>
        <r>
          <rPr>
            <b/>
            <sz val="9"/>
            <color indexed="57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Montant mensuel</t>
        </r>
        <r>
          <rPr>
            <b/>
            <sz val="9"/>
            <color indexed="57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à verser en plus du salaire</t>
        </r>
        <r>
          <rPr>
            <sz val="9"/>
            <rFont val="Tahoma"/>
            <family val="2"/>
          </rPr>
          <t xml:space="preserve"> correspondant aux 11% de CP  Heures complémentaires et supplémentaires</t>
        </r>
        <r>
          <rPr>
            <b/>
            <sz val="9"/>
            <color indexed="57"/>
            <rFont val="Tahoma"/>
            <family val="2"/>
          </rPr>
          <t xml:space="preserve">
</t>
        </r>
      </text>
    </comment>
    <comment ref="M52" authorId="1">
      <text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>Congés Payés Inclus</t>
        </r>
        <r>
          <rPr>
            <b/>
            <sz val="9"/>
            <color indexed="52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 xml:space="preserve">: </t>
        </r>
        <r>
          <rPr>
            <sz val="9"/>
            <rFont val="Tahoma"/>
            <family val="2"/>
          </rPr>
          <t>11% CP Heures complémentaires et supplémentaires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b/>
            <sz val="9"/>
            <color indexed="57"/>
            <rFont val="Tahoma"/>
            <family val="2"/>
          </rPr>
          <t>:</t>
        </r>
        <r>
          <rPr>
            <sz val="9"/>
            <color indexed="8"/>
            <rFont val="Tahoma"/>
            <family val="2"/>
          </rPr>
          <t xml:space="preserve">
Autre Formule de calcul intégrant mensuellement les 10% de CP dus sur le salaire de base et sur les H Compl et suppl et  </t>
        </r>
        <r>
          <rPr>
            <b/>
            <sz val="9"/>
            <color indexed="10"/>
            <rFont val="Tahoma"/>
            <family val="2"/>
          </rPr>
          <t>en fin d'année de référence seulement</t>
        </r>
        <r>
          <rPr>
            <sz val="9"/>
            <color indexed="8"/>
            <rFont val="Tahoma"/>
            <family val="2"/>
          </rPr>
          <t xml:space="preserve"> les 10% dus sur les  CP ( = montant équivalent cellule J 41)</t>
        </r>
      </text>
    </comment>
    <comment ref="M81" authorId="1">
      <text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>Congés Payés Inclus</t>
        </r>
        <r>
          <rPr>
            <b/>
            <sz val="9"/>
            <color indexed="52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 xml:space="preserve">: </t>
        </r>
        <r>
          <rPr>
            <sz val="9"/>
            <rFont val="Tahoma"/>
            <family val="2"/>
          </rPr>
          <t>11% CP Heures complémentaires et supplémentaires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b/>
            <sz val="9"/>
            <color indexed="57"/>
            <rFont val="Tahoma"/>
            <family val="2"/>
          </rPr>
          <t>:</t>
        </r>
        <r>
          <rPr>
            <sz val="9"/>
            <color indexed="8"/>
            <rFont val="Tahoma"/>
            <family val="2"/>
          </rPr>
          <t xml:space="preserve">
Autre Formule de calcul intégrant mensuellement les 10% de CP dus sur le salaire de base et sur les H Compl et suppl et  </t>
        </r>
        <r>
          <rPr>
            <b/>
            <sz val="9"/>
            <color indexed="10"/>
            <rFont val="Tahoma"/>
            <family val="2"/>
          </rPr>
          <t>en fin d'année de référence seulement</t>
        </r>
        <r>
          <rPr>
            <sz val="9"/>
            <color indexed="8"/>
            <rFont val="Tahoma"/>
            <family val="2"/>
          </rPr>
          <t xml:space="preserve"> les 10% dus sur les  CP ( = montant équivalent cellule J 41)</t>
        </r>
      </text>
    </comment>
  </commentList>
</comments>
</file>

<file path=xl/comments2.xml><?xml version="1.0" encoding="utf-8"?>
<comments xmlns="http://schemas.openxmlformats.org/spreadsheetml/2006/main">
  <authors>
    <author>Unsa</author>
    <author>utilisateur</author>
    <author>Marie No?lle PETITGAS</author>
    <author>moii</author>
    <author>Utilisateur</author>
  </authors>
  <commentList>
    <comment ref="A12" authorId="0">
      <text>
        <r>
          <rPr>
            <sz val="9"/>
            <rFont val="Tahoma"/>
            <family val="2"/>
          </rPr>
          <t xml:space="preserve">Aide ,la touche x du clavier est celle utilisée
(ordre w </t>
        </r>
        <r>
          <rPr>
            <sz val="9"/>
            <color indexed="10"/>
            <rFont val="Tahoma"/>
            <family val="2"/>
          </rPr>
          <t>x</t>
        </r>
        <r>
          <rPr>
            <sz val="9"/>
            <rFont val="Tahoma"/>
            <family val="2"/>
          </rPr>
          <t xml:space="preserve"> c v b n... )</t>
        </r>
      </text>
    </comment>
    <comment ref="A13" authorId="0">
      <text>
        <r>
          <rPr>
            <b/>
            <sz val="11"/>
            <rFont val="Tahoma"/>
            <family val="2"/>
          </rPr>
          <t xml:space="preserve">Vos congés payés </t>
        </r>
        <r>
          <rPr>
            <b/>
            <sz val="11"/>
            <color indexed="10"/>
            <rFont val="Tahoma"/>
            <family val="2"/>
          </rPr>
          <t>ne sont pas inclus</t>
        </r>
        <r>
          <rPr>
            <b/>
            <sz val="11"/>
            <rFont val="Tahoma"/>
            <family val="2"/>
          </rPr>
          <t xml:space="preserve"> dans le calcul de la mensualisation mettre une croix (x)
Il ne peut être saisi 2 (x) croix </t>
        </r>
      </text>
    </comment>
    <comment ref="A14" authorId="0">
      <text>
        <r>
          <rPr>
            <b/>
            <sz val="9"/>
            <rFont val="Tahoma"/>
            <family val="2"/>
          </rPr>
          <t xml:space="preserve">Vos congés </t>
        </r>
        <r>
          <rPr>
            <b/>
            <sz val="9"/>
            <color indexed="10"/>
            <rFont val="Tahoma"/>
            <family val="2"/>
          </rPr>
          <t xml:space="preserve"> payés sont  inclus </t>
        </r>
        <r>
          <rPr>
            <b/>
            <sz val="9"/>
            <rFont val="Tahoma"/>
            <family val="2"/>
          </rPr>
          <t>dans le calcul de la mensualisation mettre une croix (x)</t>
        </r>
      </text>
    </comment>
    <comment ref="I17" authorId="1">
      <text>
        <r>
          <rPr>
            <sz val="9"/>
            <rFont val="Tahoma"/>
            <family val="2"/>
          </rPr>
          <t xml:space="preserve">Format 00/00/0000
</t>
        </r>
      </text>
    </comment>
    <comment ref="J19" authorId="2">
      <text>
        <r>
          <rPr>
            <sz val="9"/>
            <rFont val="Tahoma"/>
            <family val="2"/>
          </rPr>
          <t xml:space="preserve">Date de </t>
        </r>
        <r>
          <rPr>
            <b/>
            <sz val="9"/>
            <rFont val="Tahoma"/>
            <family val="2"/>
          </rPr>
          <t>début du contrat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ou</t>
        </r>
        <r>
          <rPr>
            <sz val="9"/>
            <rFont val="Tahoma"/>
            <family val="2"/>
          </rPr>
          <t xml:space="preserve"> de </t>
        </r>
        <r>
          <rPr>
            <b/>
            <sz val="9"/>
            <rFont val="Tahoma"/>
            <family val="2"/>
          </rPr>
          <t>début d'année de référence</t>
        </r>
        <r>
          <rPr>
            <sz val="9"/>
            <rFont val="Tahoma"/>
            <family val="2"/>
          </rPr>
          <t xml:space="preserve"> des congés payés fixée au contrat de travail - Format 00/00/0000</t>
        </r>
      </text>
    </comment>
    <comment ref="L19" authorId="2">
      <text>
        <r>
          <rPr>
            <sz val="9"/>
            <rFont val="Tahoma"/>
            <family val="2"/>
          </rPr>
          <t xml:space="preserve">Date de </t>
        </r>
        <r>
          <rPr>
            <b/>
            <sz val="9"/>
            <rFont val="Tahoma"/>
            <family val="2"/>
          </rPr>
          <t>fin d'année de référence</t>
        </r>
        <r>
          <rPr>
            <sz val="9"/>
            <rFont val="Tahoma"/>
            <family val="2"/>
          </rPr>
          <t xml:space="preserve"> des congés payés fixée au contrat de travail
</t>
        </r>
        <r>
          <rPr>
            <b/>
            <sz val="9"/>
            <rFont val="Tahoma"/>
            <family val="2"/>
          </rPr>
          <t>ou</t>
        </r>
        <r>
          <rPr>
            <sz val="9"/>
            <rFont val="Tahoma"/>
            <family val="2"/>
          </rPr>
          <t xml:space="preserve"> le cas échéant de rupture du contrat. Format 00/00/0000</t>
        </r>
      </text>
    </comment>
    <comment ref="A23" authorId="1">
      <text>
        <r>
          <rPr>
            <b/>
            <sz val="9"/>
            <rFont val="Tahoma"/>
            <family val="2"/>
          </rPr>
          <t>Soit 2,5 jours ouvrables*/mois</t>
        </r>
        <r>
          <rPr>
            <sz val="9"/>
            <rFont val="Tahoma"/>
            <family val="2"/>
          </rPr>
          <t xml:space="preserve"> </t>
        </r>
        <r>
          <rPr>
            <b/>
            <u val="single"/>
            <sz val="9"/>
            <color indexed="10"/>
            <rFont val="Tahoma"/>
            <family val="2"/>
          </rPr>
          <t>quelque soit la durée effective de travail au cours du mois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En cas de début ou de fin de contrat au cours  du mois, il convient de vérifier le nombre de périodes de 4 semaines entre le début et la fin de l'année de référence : 2,5 jours ouvrables/période de  4 semaines.
</t>
        </r>
        <r>
          <rPr>
            <b/>
            <sz val="9"/>
            <rFont val="Tahoma"/>
            <family val="2"/>
          </rPr>
          <t>12 mois ou 12 périodes de 4 semaines = 30 jours ouvrables de congés payés acquis auxquels se rajoutent le  cas échéant les jours de fractionnement.</t>
        </r>
        <r>
          <rPr>
            <sz val="9"/>
            <rFont val="Tahoma"/>
            <family val="2"/>
          </rPr>
          <t xml:space="preserve">
Le contrat de travail ANAMAAF prévoit - selon la directive européenne - l'acquisition des congés payés en arrêt maladie non professionnelle. 
Les congés payés (2,5 jours ouvrables/mois) restent acquis durant le congé maternité - l'arrêt pour accident du travail et maladie professionnelle ainsi que durant la période de prise des congés payés.
Les semaines d'absence - non travaillées - de congés sans solde prises en compte dans le calcul de la mensualistion pour une modulation annuelle du salaire (temps partiel) , n' interfèrent nullement dans l'acquisition des droits au Congé payé acquis: un salarié à temps partiel - quelque soit la durée effective - acquiert autant de jours de congés payés </t>
        </r>
        <r>
          <rPr>
            <b/>
            <u val="single"/>
            <sz val="9"/>
            <rFont val="Tahoma"/>
            <family val="2"/>
          </rPr>
          <t>en durée</t>
        </r>
        <r>
          <rPr>
            <sz val="9"/>
            <rFont val="Tahoma"/>
            <family val="2"/>
          </rPr>
          <t xml:space="preserve"> qu'un salarié à temps plein. Seul le montant de la rémunération  de ces congés payés  est proportionnel au salaire versé pour le temps de travail prévu par le contrat.
</t>
        </r>
        <r>
          <rPr>
            <b/>
            <sz val="9"/>
            <rFont val="Tahoma"/>
            <family val="2"/>
          </rPr>
          <t>* Jours ouvrables = tous les jours de la semaine à l'exception du Dimanche et des jours fériés</t>
        </r>
      </text>
    </comment>
    <comment ref="O25" authorId="3">
      <text>
        <r>
          <rPr>
            <sz val="9"/>
            <color indexed="8"/>
            <rFont val="Tahoma"/>
            <family val="2"/>
          </rPr>
          <t xml:space="preserve">Saisir le montant de la </t>
        </r>
        <r>
          <rPr>
            <u val="single"/>
            <sz val="9"/>
            <color indexed="8"/>
            <rFont val="Tahoma"/>
            <family val="2"/>
          </rPr>
          <t>mensualisation BRUT de base*</t>
        </r>
        <r>
          <rPr>
            <sz val="9"/>
            <color indexed="8"/>
            <rFont val="Tahoma"/>
            <family val="2"/>
          </rPr>
          <t xml:space="preserve"> en cours au moment de la prise des congés principaux  - Vérifier à la fin de l'année de référence et au moment de la rupture du contrat
*Les régularisations au titre d'heures complémentaires ou supplémentaires ainsi que les absences non rémunérées sont saisies dans la colonne J ou L</t>
        </r>
      </text>
    </comment>
    <comment ref="O27" authorId="0">
      <text>
        <r>
          <rPr>
            <sz val="9"/>
            <rFont val="Tahoma"/>
            <family val="2"/>
          </rPr>
          <t xml:space="preserve">Si </t>
        </r>
        <r>
          <rPr>
            <b/>
            <sz val="9"/>
            <color indexed="10"/>
            <rFont val="Tahoma"/>
            <family val="2"/>
          </rPr>
          <t>montant négatif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 congés payés </t>
        </r>
        <r>
          <rPr>
            <sz val="9"/>
            <color indexed="10"/>
            <rFont val="Tahoma"/>
            <family val="2"/>
          </rPr>
          <t>non acquis &amp; pris par anticipation</t>
        </r>
        <r>
          <rPr>
            <sz val="9"/>
            <rFont val="Tahoma"/>
            <family val="2"/>
          </rPr>
          <t xml:space="preserve"> au moment de  la rupture du contrat ou en fin d'année référence génèrant le remboursement  du trop perçu à l'employeur </t>
        </r>
      </text>
    </comment>
    <comment ref="O31" authorId="0">
      <text>
        <r>
          <rPr>
            <b/>
            <sz val="9"/>
            <color indexed="10"/>
            <rFont val="Tahoma"/>
            <family val="2"/>
          </rPr>
          <t>Régularisation à effectuer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Si le montant est négatif rien ne s'inscrit </t>
        </r>
      </text>
    </comment>
    <comment ref="O32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Méthode du 10ème </t>
        </r>
        <r>
          <rPr>
            <sz val="9"/>
            <rFont val="Tahoma"/>
            <family val="2"/>
          </rPr>
          <t xml:space="preserve">
</t>
        </r>
      </text>
    </comment>
    <comment ref="O33" authorId="0">
      <text>
        <r>
          <rPr>
            <sz val="9"/>
            <rFont val="Tahoma"/>
            <family val="2"/>
          </rPr>
          <t>Si cette période est une</t>
        </r>
        <r>
          <rPr>
            <b/>
            <sz val="9"/>
            <rFont val="Tahoma"/>
            <family val="2"/>
          </rPr>
          <t xml:space="preserve"> fin de contrat -</t>
        </r>
        <r>
          <rPr>
            <b/>
            <sz val="9"/>
            <color indexed="10"/>
            <rFont val="Tahoma"/>
            <family val="2"/>
          </rPr>
          <t xml:space="preserve"> cellule G22 cochée "OUI" - </t>
        </r>
        <r>
          <rPr>
            <sz val="9"/>
            <rFont val="Tahoma"/>
            <family val="2"/>
          </rPr>
          <t xml:space="preserve">la </t>
        </r>
        <r>
          <rPr>
            <b/>
            <sz val="9"/>
            <rFont val="Tahoma"/>
            <family val="2"/>
          </rPr>
          <t>cellule O33</t>
        </r>
        <r>
          <rPr>
            <sz val="9"/>
            <rFont val="Tahoma"/>
            <family val="2"/>
          </rPr>
          <t xml:space="preserve"> doit être </t>
        </r>
        <r>
          <rPr>
            <b/>
            <sz val="9"/>
            <rFont val="Tahoma"/>
            <family val="2"/>
          </rPr>
          <t>cochée "NON"</t>
        </r>
      </text>
    </comment>
    <comment ref="N38" authorId="0">
      <text>
        <r>
          <rPr>
            <sz val="9"/>
            <rFont val="Tahoma"/>
            <family val="2"/>
          </rPr>
          <t xml:space="preserve">Les congés payés </t>
        </r>
        <r>
          <rPr>
            <sz val="9"/>
            <color indexed="10"/>
            <rFont val="Tahoma"/>
            <family val="2"/>
          </rPr>
          <t xml:space="preserve">acquis &amp; </t>
        </r>
        <r>
          <rPr>
            <b/>
            <sz val="9"/>
            <color indexed="10"/>
            <rFont val="Tahoma"/>
            <family val="2"/>
          </rPr>
          <t>non pris</t>
        </r>
        <r>
          <rPr>
            <sz val="9"/>
            <rFont val="Tahoma"/>
            <family val="2"/>
          </rPr>
          <t xml:space="preserve"> au moment de  la rupture du contrat ou non reportés en fin d'année référence génèrent le versement  d' une indemnité compensatrice au salarié.
A contrario les congés payés</t>
        </r>
        <r>
          <rPr>
            <sz val="9"/>
            <color indexed="10"/>
            <rFont val="Tahoma"/>
            <family val="2"/>
          </rPr>
          <t xml:space="preserve"> non acquis &amp; pris par anticipation</t>
        </r>
        <r>
          <rPr>
            <sz val="9"/>
            <rFont val="Tahoma"/>
            <family val="2"/>
          </rPr>
          <t xml:space="preserve"> au moment de  la rupture du contrat ou non déduits de l'année référence suivante génèrent le remboursement  du trop perçu à l'employeur (Cf cellule O27 si négatif).Cependant la régularisation au titre de la méthode la plus favorable reste due.</t>
        </r>
        <r>
          <rPr>
            <sz val="11"/>
            <rFont val="Tahoma"/>
            <family val="2"/>
          </rPr>
          <t xml:space="preserve">
</t>
        </r>
      </text>
    </comment>
    <comment ref="O38" authorId="0">
      <text>
        <r>
          <rPr>
            <sz val="9"/>
            <rFont val="Tahoma"/>
            <family val="2"/>
          </rPr>
          <t xml:space="preserve">Soit :
- </t>
        </r>
        <r>
          <rPr>
            <b/>
            <sz val="9"/>
            <rFont val="Tahoma"/>
            <family val="2"/>
          </rPr>
          <t>Si la cellule O31 est inactive :</t>
        </r>
        <r>
          <rPr>
            <sz val="9"/>
            <rFont val="Tahoma"/>
            <family val="2"/>
          </rPr>
          <t xml:space="preserve">
La somme est égale à la cellule O27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r>
        <r>
          <rPr>
            <sz val="9"/>
            <color indexed="10"/>
            <rFont val="Tahoma"/>
            <family val="2"/>
          </rPr>
          <t>en absence de report des congés</t>
        </r>
        <r>
          <rPr>
            <sz val="9"/>
            <rFont val="Tahoma"/>
            <family val="2"/>
          </rPr>
          <t xml:space="preserve">
La somme nulle </t>
        </r>
        <r>
          <rPr>
            <sz val="9"/>
            <color indexed="10"/>
            <rFont val="Tahoma"/>
            <family val="2"/>
          </rPr>
          <t>si report des congés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- Si la cellule O31 est active 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color indexed="10"/>
            <rFont val="Tahoma"/>
            <family val="2"/>
          </rPr>
          <t xml:space="preserve">Et </t>
        </r>
        <r>
          <rPr>
            <sz val="9"/>
            <color indexed="10"/>
            <rFont val="Tahoma"/>
            <family val="2"/>
          </rPr>
          <t>en absence de report des congés ,</t>
        </r>
        <r>
          <rPr>
            <sz val="9"/>
            <rFont val="Tahoma"/>
            <family val="2"/>
          </rPr>
          <t xml:space="preserve"> La somme est égale à la cellule O27 +O31 (soit la différence de la cellule O28 moins J40/41 au titre de régularisation du plus favorable et les CP acquis et non pris)
</t>
        </r>
        <r>
          <rPr>
            <sz val="9"/>
            <color indexed="10"/>
            <rFont val="Tahoma"/>
            <family val="2"/>
          </rPr>
          <t xml:space="preserve">Avec de report des congés </t>
        </r>
        <r>
          <rPr>
            <sz val="9"/>
            <rFont val="Tahoma"/>
            <family val="2"/>
          </rPr>
          <t xml:space="preserve">, la somme est égale à la cellule O31 au titre de régularisation du plus favorable </t>
        </r>
        <r>
          <rPr>
            <sz val="10"/>
            <rFont val="Tahoma"/>
            <family val="2"/>
          </rPr>
          <t xml:space="preserve">
</t>
        </r>
      </text>
    </comment>
    <comment ref="A39" authorId="0">
      <text>
        <r>
          <rPr>
            <sz val="11"/>
            <rFont val="Tahoma"/>
            <family val="2"/>
          </rPr>
          <t>*Déduction des CP en cas d’arrêt de travail pour maladie non professionnelle au-delà de  </t>
        </r>
        <r>
          <rPr>
            <sz val="11"/>
            <color indexed="10"/>
            <rFont val="Tahoma"/>
            <family val="2"/>
          </rPr>
          <t xml:space="preserve">38,4 </t>
        </r>
        <r>
          <rPr>
            <sz val="11"/>
            <rFont val="Tahoma"/>
            <family val="2"/>
          </rPr>
          <t xml:space="preserve">semaines/année de référence-Voir "onglet explication déduction CP"-
</t>
        </r>
      </text>
    </comment>
    <comment ref="E39" authorId="0">
      <text>
        <r>
          <rPr>
            <sz val="12"/>
            <rFont val="Tahoma"/>
            <family val="2"/>
          </rPr>
          <t xml:space="preserve"> Le contrat ANAMAAF est en conformité avec l’article 7 de la directive européenne CE 2003/88/CE du 04 novembre 2003, et la décision de la Cour de Justice Européenne  dans son arrêt du 24 Janvier 2012, - tout salarié absent en raison d’une maladie professionnelle ou non (ou en chômage partiel) a droit à un congé annuel payé d’au moins  4 semaines - c’est l’année de référence qui fixe le début et la fin – exemple un arrêt continu de 43 semaines réparti sur 2 années de référence   ne génère pas de déduction de jours de congés payés acquis
</t>
        </r>
        <r>
          <rPr>
            <sz val="11"/>
            <rFont val="Tahoma"/>
            <family val="2"/>
          </rPr>
          <t xml:space="preserve">
</t>
        </r>
      </text>
    </comment>
    <comment ref="E40" authorId="1">
      <text>
        <r>
          <rPr>
            <sz val="9"/>
            <rFont val="Tahoma"/>
            <family val="2"/>
          </rPr>
          <t xml:space="preserve">Report congé feuille "calcul_cp"
</t>
        </r>
      </text>
    </comment>
    <comment ref="J40" authorId="0">
      <text>
        <r>
          <rPr>
            <b/>
            <sz val="9"/>
            <color indexed="51"/>
            <rFont val="Tahoma"/>
            <family val="2"/>
          </rPr>
          <t>Mensualisation Congés payés inclus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Total des congés payés mensualisés et de ceux perçus ou à percevoir sur les heures complémentaires et supplémentaires</t>
        </r>
      </text>
    </comment>
    <comment ref="E42" authorId="1">
      <text>
        <r>
          <rPr>
            <sz val="9"/>
            <rFont val="Tahoma"/>
            <family val="2"/>
          </rPr>
          <t xml:space="preserve">Jours de congés payés supplémentaires acquis si  maximum 24 jours ouvrables de congés pris* sont fractionnées en plusieurs fois (minimum obligatoire -si acquis -  12 jours ouvrables  consécutifs entre le 1er mai et le 31 octobre) :
- 2 jours de congés supplémentaires si 6 jours de congés sont pris séparément entre le 1er Novembre et le 30 Avril.
- 1 jour de congé supplémentaire si 3 à 5 jours de congés sont pris séparément entre le 1er Novembre et le 30 Avril..
* la 5ème semaine de congés payés n'entre pas dans le calcul du droit au jour de fractionnement .
</t>
        </r>
        <r>
          <rPr>
            <sz val="9"/>
            <color indexed="10"/>
            <rFont val="Tahoma"/>
            <family val="2"/>
          </rPr>
          <t xml:space="preserve">Ces jours de fractionnement </t>
        </r>
        <r>
          <rPr>
            <b/>
            <sz val="9"/>
            <color indexed="10"/>
            <rFont val="Tahoma"/>
            <family val="2"/>
          </rPr>
          <t xml:space="preserve">se cumulent en plus </t>
        </r>
        <r>
          <rPr>
            <sz val="9"/>
            <color indexed="10"/>
            <rFont val="Tahoma"/>
            <family val="2"/>
          </rPr>
          <t>du nombre de jours ce congés payés acquis.</t>
        </r>
        <r>
          <rPr>
            <sz val="9"/>
            <rFont val="Tahoma"/>
            <family val="2"/>
          </rPr>
          <t xml:space="preserve"> </t>
        </r>
      </text>
    </comment>
    <comment ref="E43" authorId="0">
      <text>
        <r>
          <rPr>
            <sz val="9"/>
            <rFont val="Tahoma"/>
            <family val="2"/>
          </rPr>
          <t xml:space="preserve">Total jours ouvrables acquis : Congés légaux - congés mère/père de famille le cas échéant et jours de fractionnement </t>
        </r>
        <r>
          <rPr>
            <b/>
            <i/>
            <u val="single"/>
            <sz val="9"/>
            <rFont val="Tahoma"/>
            <family val="2"/>
          </rPr>
          <t xml:space="preserve">
</t>
        </r>
      </text>
    </comment>
    <comment ref="L46" authorId="2">
      <text>
        <r>
          <rPr>
            <sz val="9"/>
            <rFont val="Tahoma"/>
            <family val="2"/>
          </rPr>
          <t xml:space="preserve">Date de fin d'année de référence des congés payés fixée au contrat de travail
</t>
        </r>
        <r>
          <rPr>
            <b/>
            <sz val="9"/>
            <rFont val="Tahoma"/>
            <family val="2"/>
          </rPr>
          <t>ou</t>
        </r>
        <r>
          <rPr>
            <sz val="9"/>
            <rFont val="Tahoma"/>
            <family val="2"/>
          </rPr>
          <t xml:space="preserve"> le cas échéant de rupture du contrat.
Format 00/00/0000</t>
        </r>
      </text>
    </comment>
    <comment ref="A52" authorId="0">
      <text>
        <r>
          <rPr>
            <b/>
            <sz val="9"/>
            <rFont val="Tahoma"/>
            <family val="2"/>
          </rPr>
          <t xml:space="preserve">Soit 2,5 jours ouvrables*/mois </t>
        </r>
        <r>
          <rPr>
            <b/>
            <u val="single"/>
            <sz val="9"/>
            <color indexed="53"/>
            <rFont val="Tahoma"/>
            <family val="2"/>
          </rPr>
          <t>quelque soit la durée effective de travail au cours du mois.</t>
        </r>
        <r>
          <rPr>
            <b/>
            <sz val="9"/>
            <color indexed="53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En cas de début ou de fin de contrat au cours  du mois, il convient de vérifier le nombre de périodes de 4 semaines entre le début et la fin de l'année de référence : 2,5 jours ouvrables/période de  4 semaines.</t>
        </r>
        <r>
          <rPr>
            <b/>
            <sz val="9"/>
            <rFont val="Tahoma"/>
            <family val="2"/>
          </rPr>
          <t xml:space="preserve">
12 mois ou 12 périodes de 4 semaines = 30 jours ouvrables de congés payés acquis auxquels se rajoutent le  cas échéant les jours de fractionnement.
</t>
        </r>
        <r>
          <rPr>
            <sz val="9"/>
            <color indexed="8"/>
            <rFont val="Tahoma"/>
            <family val="2"/>
          </rPr>
          <t xml:space="preserve">Le contrat de travail ANAMAAF prévoit - selon la directive européenne - l'acquisition des congés payés en arrêt maladie non professionnelle. 
Les congés payés (2,5 jours ouvrables/mois) restent acquis durant le congé maternité - l'arrêt pour accident du travail et maladie professionnelle ainsi que durant la période de prise des congés payés.
Les semaines d'absence - non travaillées - de congés sans solde prises en compte dans le calcul de la mensualistion pour une modulation annuelle du salaire (temps partiel) , n' interfèrent nullement dans l'acquisition des droits au Congé payé acquis: un salarié à temps partiel - quelque soit la durée effective - acquiert autant de jours de congés payés </t>
        </r>
        <r>
          <rPr>
            <b/>
            <sz val="9"/>
            <color indexed="8"/>
            <rFont val="Tahoma"/>
            <family val="2"/>
          </rPr>
          <t xml:space="preserve">en durée </t>
        </r>
        <r>
          <rPr>
            <sz val="9"/>
            <color indexed="8"/>
            <rFont val="Tahoma"/>
            <family val="2"/>
          </rPr>
          <t>qu'un salarié à temps plein. Seul le montant de la rémunération  de ces congés payés  est proportionnel au salaire versé pour le temps de travail prévu par le contrat.</t>
        </r>
        <r>
          <rPr>
            <b/>
            <sz val="9"/>
            <rFont val="Tahoma"/>
            <family val="2"/>
          </rPr>
          <t xml:space="preserve">
* Jours ouvrables = tous les jours de la semaine à l'exception du Dimanche et des jours fériés</t>
        </r>
      </text>
    </comment>
    <comment ref="O54" authorId="3">
      <text>
        <r>
          <rPr>
            <sz val="9"/>
            <color indexed="8"/>
            <rFont val="Tahoma"/>
            <family val="2"/>
          </rPr>
          <t xml:space="preserve">Saisir le montant de la </t>
        </r>
        <r>
          <rPr>
            <u val="single"/>
            <sz val="9"/>
            <color indexed="8"/>
            <rFont val="Tahoma"/>
            <family val="2"/>
          </rPr>
          <t>mensualisation BRUT de base*</t>
        </r>
        <r>
          <rPr>
            <sz val="9"/>
            <color indexed="8"/>
            <rFont val="Tahoma"/>
            <family val="2"/>
          </rPr>
          <t xml:space="preserve"> en cours au moment de la prise des congés principaux  - Vérifier à la fin de l'année de référence et au moment de la rupture du contrat
*Les régularisations au titre d'heures complémentaires ou supplémentaires ainsi que les absences non rémunérées sont saisies dans la colonne J ou L</t>
        </r>
      </text>
    </comment>
    <comment ref="O56" authorId="0">
      <text>
        <r>
          <rPr>
            <sz val="9"/>
            <rFont val="Tahoma"/>
            <family val="2"/>
          </rPr>
          <t xml:space="preserve">Si </t>
        </r>
        <r>
          <rPr>
            <b/>
            <sz val="9"/>
            <color indexed="10"/>
            <rFont val="Tahoma"/>
            <family val="2"/>
          </rPr>
          <t>montant négatif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 congés payés </t>
        </r>
        <r>
          <rPr>
            <sz val="9"/>
            <color indexed="10"/>
            <rFont val="Tahoma"/>
            <family val="2"/>
          </rPr>
          <t>non acquis &amp; pris par anticipation</t>
        </r>
        <r>
          <rPr>
            <sz val="9"/>
            <rFont val="Tahoma"/>
            <family val="2"/>
          </rPr>
          <t xml:space="preserve"> au moment de  la rupture du contrat ou en fin d'année référence génèrant le remboursement  du trop perçu à l'employeur </t>
        </r>
      </text>
    </comment>
    <comment ref="O60" authorId="0">
      <text>
        <r>
          <rPr>
            <b/>
            <sz val="9"/>
            <color indexed="10"/>
            <rFont val="Tahoma"/>
            <family val="2"/>
          </rPr>
          <t>Régularisation à effectuer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Si le montant est négatif rien ne s'inscrit </t>
        </r>
      </text>
    </comment>
    <comment ref="O6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Méthode du 10ème </t>
        </r>
        <r>
          <rPr>
            <sz val="9"/>
            <rFont val="Tahoma"/>
            <family val="2"/>
          </rPr>
          <t xml:space="preserve">
</t>
        </r>
      </text>
    </comment>
    <comment ref="O62" authorId="0">
      <text>
        <r>
          <rPr>
            <sz val="9"/>
            <rFont val="Tahoma"/>
            <family val="2"/>
          </rPr>
          <t>Si cette période est une</t>
        </r>
        <r>
          <rPr>
            <b/>
            <sz val="9"/>
            <rFont val="Tahoma"/>
            <family val="2"/>
          </rPr>
          <t xml:space="preserve"> fin de contrat -</t>
        </r>
        <r>
          <rPr>
            <b/>
            <sz val="9"/>
            <color indexed="10"/>
            <rFont val="Tahoma"/>
            <family val="2"/>
          </rPr>
          <t xml:space="preserve"> cellule G51 cochée "OUI" - </t>
        </r>
        <r>
          <rPr>
            <sz val="9"/>
            <rFont val="Tahoma"/>
            <family val="2"/>
          </rPr>
          <t xml:space="preserve">la </t>
        </r>
        <r>
          <rPr>
            <b/>
            <sz val="9"/>
            <rFont val="Tahoma"/>
            <family val="2"/>
          </rPr>
          <t>cellule O62</t>
        </r>
        <r>
          <rPr>
            <sz val="9"/>
            <rFont val="Tahoma"/>
            <family val="2"/>
          </rPr>
          <t xml:space="preserve"> doit être </t>
        </r>
        <r>
          <rPr>
            <b/>
            <sz val="9"/>
            <rFont val="Tahoma"/>
            <family val="2"/>
          </rPr>
          <t>cochée "NON"</t>
        </r>
      </text>
    </comment>
    <comment ref="N66" authorId="0">
      <text>
        <r>
          <rPr>
            <sz val="9"/>
            <rFont val="Tahoma"/>
            <family val="2"/>
          </rPr>
          <t xml:space="preserve">Les congés payés </t>
        </r>
        <r>
          <rPr>
            <sz val="9"/>
            <color indexed="10"/>
            <rFont val="Tahoma"/>
            <family val="2"/>
          </rPr>
          <t xml:space="preserve">acquis &amp; </t>
        </r>
        <r>
          <rPr>
            <b/>
            <sz val="9"/>
            <color indexed="10"/>
            <rFont val="Tahoma"/>
            <family val="2"/>
          </rPr>
          <t>non pris</t>
        </r>
        <r>
          <rPr>
            <sz val="9"/>
            <rFont val="Tahoma"/>
            <family val="2"/>
          </rPr>
          <t xml:space="preserve"> au moment de  la rupture du contrat ou non reportés en fin d'année référence génèrent le versement  d' une indemnité compensatrice au salarié.
A contrario les congés payés</t>
        </r>
        <r>
          <rPr>
            <sz val="9"/>
            <color indexed="10"/>
            <rFont val="Tahoma"/>
            <family val="2"/>
          </rPr>
          <t xml:space="preserve"> non acquis &amp; pris par anticipation</t>
        </r>
        <r>
          <rPr>
            <sz val="9"/>
            <rFont val="Tahoma"/>
            <family val="2"/>
          </rPr>
          <t xml:space="preserve"> au moment de  la rupture du contrat ou non déduits de l'année référence suivante génèrent le remboursement  du trop perçu à l'employeur (Cf cellule O56 si négatif).Cependant la régularisation au titre de la méthode la plus favorable reste due.</t>
        </r>
        <r>
          <rPr>
            <sz val="11"/>
            <rFont val="Tahoma"/>
            <family val="2"/>
          </rPr>
          <t xml:space="preserve">
</t>
        </r>
      </text>
    </comment>
    <comment ref="O66" authorId="0">
      <text>
        <r>
          <rPr>
            <sz val="9"/>
            <rFont val="Tahoma"/>
            <family val="2"/>
          </rPr>
          <t xml:space="preserve">Soit :
- </t>
        </r>
        <r>
          <rPr>
            <b/>
            <sz val="9"/>
            <rFont val="Tahoma"/>
            <family val="2"/>
          </rPr>
          <t>Si la cellule O60 est inactive :</t>
        </r>
        <r>
          <rPr>
            <sz val="9"/>
            <rFont val="Tahoma"/>
            <family val="2"/>
          </rPr>
          <t xml:space="preserve">
La somme est égale à la cellule O56 </t>
        </r>
        <r>
          <rPr>
            <sz val="9"/>
            <color indexed="10"/>
            <rFont val="Tahoma"/>
            <family val="2"/>
          </rPr>
          <t>en absence de report des congés</t>
        </r>
        <r>
          <rPr>
            <sz val="9"/>
            <rFont val="Tahoma"/>
            <family val="2"/>
          </rPr>
          <t xml:space="preserve">
La somme nulle </t>
        </r>
        <r>
          <rPr>
            <sz val="9"/>
            <color indexed="10"/>
            <rFont val="Tahoma"/>
            <family val="2"/>
          </rPr>
          <t>si report des congés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- Si la cellule O60 est active 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color indexed="10"/>
            <rFont val="Tahoma"/>
            <family val="2"/>
          </rPr>
          <t xml:space="preserve">Et </t>
        </r>
        <r>
          <rPr>
            <sz val="9"/>
            <color indexed="10"/>
            <rFont val="Tahoma"/>
            <family val="2"/>
          </rPr>
          <t>en absence de report des congés ,</t>
        </r>
        <r>
          <rPr>
            <sz val="9"/>
            <rFont val="Tahoma"/>
            <family val="2"/>
          </rPr>
          <t xml:space="preserve"> La somme est égale à la cellule O56 +O60 (soit la différence de la cellule O57 moins J69/70 au titre de régularisation du plus favorable et les CP acquis et non pris)
</t>
        </r>
        <r>
          <rPr>
            <sz val="9"/>
            <color indexed="10"/>
            <rFont val="Tahoma"/>
            <family val="2"/>
          </rPr>
          <t xml:space="preserve">Avec de report des congés </t>
        </r>
        <r>
          <rPr>
            <sz val="9"/>
            <rFont val="Tahoma"/>
            <family val="2"/>
          </rPr>
          <t xml:space="preserve">, la somme est égale à la cellule O60 au titre de régularisation du plus favorable 
</t>
        </r>
        <r>
          <rPr>
            <sz val="10"/>
            <rFont val="Tahoma"/>
            <family val="2"/>
          </rPr>
          <t xml:space="preserve">
</t>
        </r>
      </text>
    </comment>
    <comment ref="A68" authorId="0">
      <text>
        <r>
          <rPr>
            <sz val="11"/>
            <rFont val="Tahoma"/>
            <family val="2"/>
          </rPr>
          <t>*Déduction des CP en cas d’arrêt de travail pour maladie non professionnelle au-delà de  </t>
        </r>
        <r>
          <rPr>
            <sz val="11"/>
            <color indexed="10"/>
            <rFont val="Tahoma"/>
            <family val="2"/>
          </rPr>
          <t xml:space="preserve">38,4 </t>
        </r>
        <r>
          <rPr>
            <sz val="11"/>
            <rFont val="Tahoma"/>
            <family val="2"/>
          </rPr>
          <t xml:space="preserve">semaines/année de référence-Voir onglet explication déduction CP-
</t>
        </r>
      </text>
    </comment>
    <comment ref="E68" authorId="0">
      <text>
        <r>
          <rPr>
            <sz val="11"/>
            <rFont val="Tahoma"/>
            <family val="2"/>
          </rPr>
          <t xml:space="preserve"> Le contrat ANAMAAF est en conformité avec l’article 7 de la directive européenne CE 2003/88/CE du 04 novembre 2003, et la décision de la Cour de Justice Européenne  dans son arrêt du 24 Janvier 2012, - tout salarié absent en raison d’une maladie professionnelle ou non (ou en chômage partiel) a droit à un congé annuel payé d’au moins  4 semaines - c’est l’année de référence qui fixe le début et la fin – exemple un arrêt continu de 43 semaines réparti sur 2 années de référence   ne génère pas de déduction de jours de congés payés acquis
</t>
        </r>
      </text>
    </comment>
    <comment ref="E69" authorId="1">
      <text>
        <r>
          <rPr>
            <sz val="9"/>
            <rFont val="Tahoma"/>
            <family val="2"/>
          </rPr>
          <t xml:space="preserve">Les </t>
        </r>
        <r>
          <rPr>
            <b/>
            <sz val="9"/>
            <rFont val="Tahoma"/>
            <family val="2"/>
          </rPr>
          <t>congés payés</t>
        </r>
        <r>
          <rPr>
            <sz val="9"/>
            <rFont val="Tahoma"/>
            <family val="2"/>
          </rPr>
          <t xml:space="preserve"> se  prennent en </t>
        </r>
        <r>
          <rPr>
            <b/>
            <sz val="9"/>
            <rFont val="Tahoma"/>
            <family val="2"/>
          </rPr>
          <t>jour entier</t>
        </r>
        <r>
          <rPr>
            <sz val="9"/>
            <rFont val="Tahoma"/>
            <family val="2"/>
          </rPr>
          <t xml:space="preserve"> et sont </t>
        </r>
        <r>
          <rPr>
            <b/>
            <sz val="9"/>
            <rFont val="Tahoma"/>
            <family val="2"/>
          </rPr>
          <t>non fractionnables.</t>
        </r>
        <r>
          <rPr>
            <sz val="9"/>
            <rFont val="Tahoma"/>
            <family val="2"/>
          </rPr>
          <t xml:space="preserve">
</t>
        </r>
      </text>
    </comment>
    <comment ref="J69" authorId="1">
      <text>
        <r>
          <rPr>
            <b/>
            <sz val="9"/>
            <color indexed="51"/>
            <rFont val="Tahoma"/>
            <family val="2"/>
          </rPr>
          <t>Mensualisation Congés payés inclus</t>
        </r>
        <r>
          <rPr>
            <sz val="9"/>
            <rFont val="Tahoma"/>
            <family val="2"/>
          </rPr>
          <t xml:space="preserve">
Total des congés payés mensualisés et de ceux perçus ou à percevoir sur les heures complémentaires et supplémentaires</t>
        </r>
      </text>
    </comment>
    <comment ref="E71" authorId="1">
      <text>
        <r>
          <rPr>
            <sz val="9"/>
            <rFont val="Tahoma"/>
            <family val="2"/>
          </rPr>
          <t xml:space="preserve">Jours de congés payés supplémenatires acquis si  maximum 24 jours ouvrables de congés pris* sont fractionnées en plusieurs fois (minimum obligatoire -si acquis -  12 jours ouvrables  consécutifs entre le 1er mai et le 31 octobre) :
- 2 jours de congés supplémentaires si 6 jours de congés sont pris séparément entre le 1er Novembre et le 30 Avril.
- 1 jour de congé supplémentaire si 3 à 5 jours de congés sont pris séparément entre le 1er Novembre et le 30 Avril..
* la 5ème semaine de congés payés n'entre pas dans le calcul du droit au jour de farctionnement .
</t>
        </r>
        <r>
          <rPr>
            <sz val="9"/>
            <color indexed="10"/>
            <rFont val="Tahoma"/>
            <family val="2"/>
          </rPr>
          <t xml:space="preserve">Ces jours de fractionnement </t>
        </r>
        <r>
          <rPr>
            <b/>
            <sz val="9"/>
            <color indexed="10"/>
            <rFont val="Tahoma"/>
            <family val="2"/>
          </rPr>
          <t>se cumulent en plus</t>
        </r>
        <r>
          <rPr>
            <sz val="9"/>
            <color indexed="10"/>
            <rFont val="Tahoma"/>
            <family val="2"/>
          </rPr>
          <t xml:space="preserve"> du nombre de jours ce congés payés acquis. </t>
        </r>
      </text>
    </comment>
    <comment ref="E72" authorId="0">
      <text>
        <r>
          <rPr>
            <sz val="9"/>
            <rFont val="Tahoma"/>
            <family val="2"/>
          </rPr>
          <t xml:space="preserve">Total jours ouvrables acquis : Congés légaux - avec report cas échéant et jours de fractionnement </t>
        </r>
      </text>
    </comment>
    <comment ref="L75" authorId="2">
      <text>
        <r>
          <rPr>
            <sz val="9"/>
            <rFont val="Tahoma"/>
            <family val="2"/>
          </rPr>
          <t xml:space="preserve">Date de fin d'année de référence des congés payés fixée au contrat de travail
</t>
        </r>
        <r>
          <rPr>
            <b/>
            <sz val="9"/>
            <rFont val="Tahoma"/>
            <family val="2"/>
          </rPr>
          <t xml:space="preserve">ou </t>
        </r>
        <r>
          <rPr>
            <sz val="9"/>
            <rFont val="Tahoma"/>
            <family val="2"/>
          </rPr>
          <t>le cas échéant de rupture du contrat.
Format 00/00/0000</t>
        </r>
      </text>
    </comment>
    <comment ref="A81" authorId="0">
      <text>
        <r>
          <rPr>
            <b/>
            <sz val="9"/>
            <rFont val="Tahoma"/>
            <family val="2"/>
          </rPr>
          <t xml:space="preserve">Soit 2,5 jours ouvrables*/mois </t>
        </r>
        <r>
          <rPr>
            <b/>
            <u val="single"/>
            <sz val="9"/>
            <color indexed="53"/>
            <rFont val="Tahoma"/>
            <family val="2"/>
          </rPr>
          <t>quelque soit la durée effective de travail au cours du mois.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En cas de début ou de fin de contrat au cours  du mois, il convient de vérifier le nombre de périodes de 4 semaines entre le début et la fin de l'année de référence : 2,5 jours ouvrables/période de  4 semaines.</t>
        </r>
        <r>
          <rPr>
            <b/>
            <sz val="9"/>
            <rFont val="Tahoma"/>
            <family val="2"/>
          </rPr>
          <t xml:space="preserve">
12 mois ou 12 périodes de 4 semaines = 30 jours ouvrables de congés payés acquis auxquels se rajoutent le  cas échéant les jours de fractionnement.
</t>
        </r>
        <r>
          <rPr>
            <sz val="10"/>
            <rFont val="Tahoma"/>
            <family val="2"/>
          </rPr>
          <t xml:space="preserve">Le contrat de travail ANAMAAF prévoit - selon la directive européenne - l'acquisition des congés payés en arrêt maladie non professionnelle. 
Les congés payés (2,5 jours ouvrables/mois) restent acquis durant le congé maternité - l'arrêt pour accident du travail et maladie professionnelle ainsi que durant la période de prise des congés payés.
Les semaines d'absence - non travaillées - de congés sans solde prises en compte dans le calcul de la mensualistion pour une modulation annuelle du salaire (temps partiel) , n' interfèrent nullement dans l'acquisition des droits au Congé payé acquis: un salarié à temps partiel - quelque soit la durée effective - acquiert autant de jours de congés payés </t>
        </r>
        <r>
          <rPr>
            <b/>
            <sz val="9"/>
            <rFont val="Tahoma"/>
            <family val="2"/>
          </rPr>
          <t>en durée</t>
        </r>
        <r>
          <rPr>
            <sz val="9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qu'un salarié à temps plein. Seul le montant de la rémunération  de ces congés payés  est proportionnel au salaire versé pour le temps de travail prévu par le contrat.</t>
        </r>
        <r>
          <rPr>
            <b/>
            <sz val="9"/>
            <rFont val="Tahoma"/>
            <family val="2"/>
          </rPr>
          <t xml:space="preserve">
* Jours ouvrables = tous les jours de la semaine à l'exception du Dimanche et des jours fériés</t>
        </r>
      </text>
    </comment>
    <comment ref="O83" authorId="3">
      <text>
        <r>
          <rPr>
            <sz val="9"/>
            <color indexed="8"/>
            <rFont val="Tahoma"/>
            <family val="2"/>
          </rPr>
          <t xml:space="preserve">Saisir le montant de la </t>
        </r>
        <r>
          <rPr>
            <u val="single"/>
            <sz val="9"/>
            <color indexed="8"/>
            <rFont val="Tahoma"/>
            <family val="2"/>
          </rPr>
          <t>mensualisation BRUT de base*</t>
        </r>
        <r>
          <rPr>
            <sz val="9"/>
            <color indexed="8"/>
            <rFont val="Tahoma"/>
            <family val="2"/>
          </rPr>
          <t xml:space="preserve"> en cours au moment de la prise des congés principaux  - Vérifier à la fin de l'année de référence et au moment de la rupture du contrat
*Les régularisations au titre d'heures complémentaires ou supplémentaires ainsi que les absences non rémunérées sont saisies dans la colonne J ou L</t>
        </r>
      </text>
    </comment>
    <comment ref="O85" authorId="0">
      <text>
        <r>
          <rPr>
            <sz val="9"/>
            <rFont val="Tahoma"/>
            <family val="2"/>
          </rPr>
          <t xml:space="preserve">Si </t>
        </r>
        <r>
          <rPr>
            <b/>
            <sz val="9"/>
            <color indexed="10"/>
            <rFont val="Tahoma"/>
            <family val="2"/>
          </rPr>
          <t>montant négatif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 congés payés </t>
        </r>
        <r>
          <rPr>
            <sz val="9"/>
            <color indexed="10"/>
            <rFont val="Tahoma"/>
            <family val="2"/>
          </rPr>
          <t>non acquis &amp; pris par anticipation</t>
        </r>
        <r>
          <rPr>
            <sz val="9"/>
            <rFont val="Tahoma"/>
            <family val="2"/>
          </rPr>
          <t xml:space="preserve"> au moment de  la rupture du contrat ou en fin d'année référence génèrant le remboursement  du trop perçu à l'employeur </t>
        </r>
      </text>
    </comment>
    <comment ref="O89" authorId="0">
      <text>
        <r>
          <rPr>
            <b/>
            <sz val="9"/>
            <color indexed="10"/>
            <rFont val="Tahoma"/>
            <family val="2"/>
          </rPr>
          <t>Régularisation à effectuer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Si le montant est négatif rien ne s'inscrit </t>
        </r>
      </text>
    </comment>
    <comment ref="O90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Méthode du 10ème </t>
        </r>
        <r>
          <rPr>
            <sz val="9"/>
            <rFont val="Tahoma"/>
            <family val="2"/>
          </rPr>
          <t xml:space="preserve">
</t>
        </r>
      </text>
    </comment>
    <comment ref="O91" authorId="0">
      <text>
        <r>
          <rPr>
            <sz val="9"/>
            <rFont val="Tahoma"/>
            <family val="2"/>
          </rPr>
          <t>Si cette période est une</t>
        </r>
        <r>
          <rPr>
            <b/>
            <sz val="9"/>
            <rFont val="Tahoma"/>
            <family val="2"/>
          </rPr>
          <t xml:space="preserve"> fin de contrat -</t>
        </r>
        <r>
          <rPr>
            <b/>
            <sz val="9"/>
            <color indexed="10"/>
            <rFont val="Tahoma"/>
            <family val="2"/>
          </rPr>
          <t xml:space="preserve"> cellule G80 cochée "OUI" - </t>
        </r>
        <r>
          <rPr>
            <sz val="9"/>
            <rFont val="Tahoma"/>
            <family val="2"/>
          </rPr>
          <t xml:space="preserve">la </t>
        </r>
        <r>
          <rPr>
            <b/>
            <sz val="9"/>
            <rFont val="Tahoma"/>
            <family val="2"/>
          </rPr>
          <t>cellule O91</t>
        </r>
        <r>
          <rPr>
            <sz val="9"/>
            <rFont val="Tahoma"/>
            <family val="2"/>
          </rPr>
          <t xml:space="preserve"> doit être </t>
        </r>
        <r>
          <rPr>
            <b/>
            <sz val="9"/>
            <rFont val="Tahoma"/>
            <family val="2"/>
          </rPr>
          <t>cochée "NON"</t>
        </r>
      </text>
    </comment>
    <comment ref="N95" authorId="0">
      <text>
        <r>
          <rPr>
            <sz val="9"/>
            <rFont val="Tahoma"/>
            <family val="2"/>
          </rPr>
          <t xml:space="preserve">Les congés payés </t>
        </r>
        <r>
          <rPr>
            <sz val="9"/>
            <color indexed="10"/>
            <rFont val="Tahoma"/>
            <family val="2"/>
          </rPr>
          <t xml:space="preserve">acquis &amp; </t>
        </r>
        <r>
          <rPr>
            <b/>
            <sz val="9"/>
            <color indexed="10"/>
            <rFont val="Tahoma"/>
            <family val="2"/>
          </rPr>
          <t>non pris</t>
        </r>
        <r>
          <rPr>
            <sz val="9"/>
            <rFont val="Tahoma"/>
            <family val="2"/>
          </rPr>
          <t xml:space="preserve"> au moment de  la rupture du contrat ou non reportés en fin d'année référence génèrent le versement  d' une indemnité compensatrice au salarié.
A contrario les congés payés</t>
        </r>
        <r>
          <rPr>
            <sz val="9"/>
            <color indexed="10"/>
            <rFont val="Tahoma"/>
            <family val="2"/>
          </rPr>
          <t xml:space="preserve"> non acquis &amp; pris par anticipation</t>
        </r>
        <r>
          <rPr>
            <sz val="9"/>
            <rFont val="Tahoma"/>
            <family val="2"/>
          </rPr>
          <t xml:space="preserve"> au moment de  la rupture du contrat ou non déduits de l'année référence suivante génèrent le remboursement  du trop perçu à l'employeur (Cf cellule O85 si négatif).Cependant la régularisation au titre de la méthode la plus favorable reste due.</t>
        </r>
        <r>
          <rPr>
            <sz val="11"/>
            <rFont val="Tahoma"/>
            <family val="2"/>
          </rPr>
          <t xml:space="preserve">
</t>
        </r>
      </text>
    </comment>
    <comment ref="O95" authorId="0">
      <text>
        <r>
          <rPr>
            <sz val="9"/>
            <rFont val="Tahoma"/>
            <family val="2"/>
          </rPr>
          <t xml:space="preserve">Soit :
- </t>
        </r>
        <r>
          <rPr>
            <b/>
            <sz val="9"/>
            <rFont val="Tahoma"/>
            <family val="2"/>
          </rPr>
          <t>Si la cellule O89 est inactive :</t>
        </r>
        <r>
          <rPr>
            <sz val="9"/>
            <rFont val="Tahoma"/>
            <family val="2"/>
          </rPr>
          <t xml:space="preserve">
La somme est égale à la cellule O85 </t>
        </r>
        <r>
          <rPr>
            <sz val="9"/>
            <color indexed="10"/>
            <rFont val="Tahoma"/>
            <family val="2"/>
          </rPr>
          <t>en absence de report des congés</t>
        </r>
        <r>
          <rPr>
            <sz val="9"/>
            <rFont val="Tahoma"/>
            <family val="2"/>
          </rPr>
          <t xml:space="preserve">
La somme nulle </t>
        </r>
        <r>
          <rPr>
            <sz val="9"/>
            <color indexed="10"/>
            <rFont val="Tahoma"/>
            <family val="2"/>
          </rPr>
          <t>si report des congés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- Si la cellule O89 est active 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color indexed="10"/>
            <rFont val="Tahoma"/>
            <family val="2"/>
          </rPr>
          <t xml:space="preserve">Et </t>
        </r>
        <r>
          <rPr>
            <sz val="9"/>
            <color indexed="10"/>
            <rFont val="Tahoma"/>
            <family val="2"/>
          </rPr>
          <t>en absence de report des congés ,</t>
        </r>
        <r>
          <rPr>
            <sz val="9"/>
            <rFont val="Tahoma"/>
            <family val="2"/>
          </rPr>
          <t xml:space="preserve"> La somme est égale à la cellule O85 +O89 (soit la différence de la cellule O86 moins J98/99 au titre de régularisation du plus favorable et les CP acquis et non pris)
</t>
        </r>
        <r>
          <rPr>
            <sz val="9"/>
            <color indexed="10"/>
            <rFont val="Tahoma"/>
            <family val="2"/>
          </rPr>
          <t xml:space="preserve">Avec de report des congés </t>
        </r>
        <r>
          <rPr>
            <sz val="9"/>
            <rFont val="Tahoma"/>
            <family val="2"/>
          </rPr>
          <t xml:space="preserve">, la somme est égale à la cellule O89 au titre de régularisation du plus favorable </t>
        </r>
        <r>
          <rPr>
            <sz val="10"/>
            <rFont val="Tahoma"/>
            <family val="2"/>
          </rPr>
          <t xml:space="preserve">
</t>
        </r>
      </text>
    </comment>
    <comment ref="A97" authorId="0">
      <text>
        <r>
          <rPr>
            <sz val="11"/>
            <rFont val="Tahoma"/>
            <family val="2"/>
          </rPr>
          <t>*Déduction des CP en cas d’arrêt de travail pour maladie non professionnelle au-delà de  </t>
        </r>
        <r>
          <rPr>
            <sz val="11"/>
            <color indexed="10"/>
            <rFont val="Tahoma"/>
            <family val="2"/>
          </rPr>
          <t xml:space="preserve">38,4 </t>
        </r>
        <r>
          <rPr>
            <sz val="11"/>
            <rFont val="Tahoma"/>
            <family val="2"/>
          </rPr>
          <t xml:space="preserve">semaines/année de référence-Voir onglet explication déduction CP-
</t>
        </r>
      </text>
    </comment>
    <comment ref="E97" authorId="0">
      <text>
        <r>
          <rPr>
            <sz val="11"/>
            <rFont val="Tahoma"/>
            <family val="2"/>
          </rPr>
          <t xml:space="preserve"> Le contrat ANAMAAF est en conformité avec l’article 7 de la directive européenne CE 2003/88/CE du 04 novembre 2003, et la décision de la Cour de Justice Européenne  dans son arrêt du 24 Janvier 2012, - tout salarié absent en raison d’une maladie professionnelle ou non (ou en chômage partiel) a droit à un congé annuel payé d’au moins  4 semaines - c’est l’année de référence qui fixe le début et la fin – exemple un arrêt continu de 43 semaines réparti sur 2 années de référence   ne génère pas de déduction de jours de congés payés acquis
</t>
        </r>
      </text>
    </comment>
    <comment ref="E98" authorId="1">
      <text>
        <r>
          <rPr>
            <sz val="9"/>
            <rFont val="Tahoma"/>
            <family val="2"/>
          </rPr>
          <t xml:space="preserve">Les </t>
        </r>
        <r>
          <rPr>
            <b/>
            <sz val="9"/>
            <rFont val="Tahoma"/>
            <family val="2"/>
          </rPr>
          <t>congés payés</t>
        </r>
        <r>
          <rPr>
            <sz val="9"/>
            <rFont val="Tahoma"/>
            <family val="2"/>
          </rPr>
          <t xml:space="preserve"> se  prennent en </t>
        </r>
        <r>
          <rPr>
            <b/>
            <sz val="9"/>
            <rFont val="Tahoma"/>
            <family val="2"/>
          </rPr>
          <t>jour entier</t>
        </r>
        <r>
          <rPr>
            <sz val="9"/>
            <rFont val="Tahoma"/>
            <family val="2"/>
          </rPr>
          <t xml:space="preserve"> et sont </t>
        </r>
        <r>
          <rPr>
            <b/>
            <sz val="9"/>
            <rFont val="Tahoma"/>
            <family val="2"/>
          </rPr>
          <t>non fractionnables.</t>
        </r>
        <r>
          <rPr>
            <sz val="9"/>
            <rFont val="Tahoma"/>
            <family val="2"/>
          </rPr>
          <t xml:space="preserve">
</t>
        </r>
      </text>
    </comment>
    <comment ref="J98" authorId="1">
      <text>
        <r>
          <rPr>
            <b/>
            <sz val="9"/>
            <color indexed="51"/>
            <rFont val="Tahoma"/>
            <family val="2"/>
          </rPr>
          <t>Mensualisation Congés payés inclus</t>
        </r>
        <r>
          <rPr>
            <sz val="9"/>
            <rFont val="Tahoma"/>
            <family val="2"/>
          </rPr>
          <t xml:space="preserve">
Total des congés payés mensualisés et de ceux perçus ou à percevoir sur les heures complémentaires et supplémentaires</t>
        </r>
      </text>
    </comment>
    <comment ref="E100" authorId="1">
      <text>
        <r>
          <rPr>
            <sz val="9"/>
            <rFont val="Tahoma"/>
            <family val="2"/>
          </rPr>
          <t xml:space="preserve">Jours de congés payés supplémenatires acquis si  maximum 24 jours ouvrables de congés pris* sont fractionnées en plusieurs fois (minimum obligatoire -si acquis -  12 jours ouvrables  consécutifs entre le 1er mai et le 31 octobre) :
- 2 jours de congés supplémentaires si 6 jours de congés sont pris séparément entre le 1er Novembre et le 30 Avril.
- 1 jour de congé supplémentaire si 3 à 5 jours de congés sont pris séparément entre le 1er Novembre et le 30 Avril..
* la 5ème semaine de congés payés n'entre pas dans le calcul du droit au jour de farctionnement .
</t>
        </r>
        <r>
          <rPr>
            <sz val="9"/>
            <color indexed="10"/>
            <rFont val="Tahoma"/>
            <family val="2"/>
          </rPr>
          <t xml:space="preserve">Ces jours de fractionnement </t>
        </r>
        <r>
          <rPr>
            <b/>
            <sz val="9"/>
            <color indexed="10"/>
            <rFont val="Tahoma"/>
            <family val="2"/>
          </rPr>
          <t>se cumulent en plus</t>
        </r>
        <r>
          <rPr>
            <sz val="9"/>
            <color indexed="10"/>
            <rFont val="Tahoma"/>
            <family val="2"/>
          </rPr>
          <t xml:space="preserve"> du nombre de jours ce congés payés acquis. </t>
        </r>
      </text>
    </comment>
    <comment ref="E101" authorId="0">
      <text>
        <r>
          <rPr>
            <sz val="9"/>
            <rFont val="Tahoma"/>
            <family val="2"/>
          </rPr>
          <t xml:space="preserve">Total jours ouvrables acquis : Congés légaux - avec report le cas échéant et jours de fractionnement </t>
        </r>
      </text>
    </comment>
    <comment ref="I23" authorId="0">
      <text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b/>
            <sz val="9"/>
            <color indexed="57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Indiquer le salaire mensualisé -</t>
        </r>
        <r>
          <rPr>
            <b/>
            <sz val="9"/>
            <color indexed="10"/>
            <rFont val="Tahoma"/>
            <family val="2"/>
          </rPr>
          <t xml:space="preserve"> Sans les heures compl ou suppl </t>
        </r>
        <r>
          <rPr>
            <sz val="9"/>
            <color indexed="8"/>
            <rFont val="Tahoma"/>
            <family val="2"/>
          </rPr>
          <t xml:space="preserve">- minoré le cas échéant en cas d'absence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 xml:space="preserve">Congés Payés Inclus </t>
        </r>
        <r>
          <rPr>
            <b/>
            <sz val="9"/>
            <color indexed="52"/>
            <rFont val="Tahoma"/>
            <family val="2"/>
          </rPr>
          <t>: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Indiquer le salaire mensualisé -</t>
        </r>
        <r>
          <rPr>
            <b/>
            <sz val="9"/>
            <color indexed="10"/>
            <rFont val="Tahoma"/>
            <family val="2"/>
          </rPr>
          <t xml:space="preserve"> Sans les heures compl ou supp</t>
        </r>
        <r>
          <rPr>
            <sz val="9"/>
            <color indexed="8"/>
            <rFont val="Tahoma"/>
            <family val="2"/>
          </rPr>
          <t xml:space="preserve"> - lminoré le cas échéant en cas d'absence</t>
        </r>
      </text>
    </comment>
    <comment ref="J23" authorId="1">
      <text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>Congés Payés Inclus</t>
        </r>
        <r>
          <rPr>
            <sz val="9"/>
            <rFont val="Tahoma"/>
            <family val="2"/>
          </rPr>
          <t xml:space="preserve"> : Montant mensuel correspondant aux  CP </t>
        </r>
        <r>
          <rPr>
            <b/>
            <u val="single"/>
            <sz val="9"/>
            <rFont val="Tahoma"/>
            <family val="2"/>
          </rPr>
          <t>inclus dans le salaire</t>
        </r>
        <r>
          <rPr>
            <sz val="9"/>
            <rFont val="Tahoma"/>
            <family val="2"/>
          </rPr>
          <t xml:space="preserve">  </t>
        </r>
        <r>
          <rPr>
            <b/>
            <u val="single"/>
            <sz val="9"/>
            <color indexed="10"/>
            <rFont val="Tahoma"/>
            <family val="2"/>
          </rPr>
          <t>HORMIS CP</t>
        </r>
        <r>
          <rPr>
            <sz val="9"/>
            <color indexed="10"/>
            <rFont val="Tahoma"/>
            <family val="2"/>
          </rPr>
          <t xml:space="preserve"> Heures complémentaires et supplémentaires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sz val="9"/>
            <rFont val="Tahoma"/>
            <family val="2"/>
          </rPr>
          <t>:
Montant mensuel à</t>
        </r>
        <r>
          <rPr>
            <b/>
            <u val="single"/>
            <sz val="9"/>
            <rFont val="Tahoma"/>
            <family val="2"/>
          </rPr>
          <t xml:space="preserve"> verser en plus du salaire</t>
        </r>
        <r>
          <rPr>
            <sz val="9"/>
            <rFont val="Tahoma"/>
            <family val="2"/>
          </rPr>
          <t xml:space="preserve"> correspondant aux </t>
        </r>
        <r>
          <rPr>
            <b/>
            <sz val="9"/>
            <rFont val="Tahoma"/>
            <family val="2"/>
          </rPr>
          <t>11%</t>
        </r>
        <r>
          <rPr>
            <sz val="9"/>
            <rFont val="Tahoma"/>
            <family val="2"/>
          </rPr>
          <t xml:space="preserve"> de CP </t>
        </r>
        <r>
          <rPr>
            <b/>
            <u val="single"/>
            <sz val="9"/>
            <rFont val="Tahoma"/>
            <family val="2"/>
          </rPr>
          <t xml:space="preserve">sur le salaire mensuel de base càd   </t>
        </r>
        <r>
          <rPr>
            <b/>
            <u val="single"/>
            <sz val="9"/>
            <color indexed="10"/>
            <rFont val="Tahoma"/>
            <family val="2"/>
          </rPr>
          <t>HORMIS CP</t>
        </r>
        <r>
          <rPr>
            <b/>
            <u val="single"/>
            <sz val="9"/>
            <rFont val="Tahoma"/>
            <family val="2"/>
          </rPr>
          <t xml:space="preserve"> Heures complémentaires et supplémentaires</t>
        </r>
      </text>
    </comment>
    <comment ref="K23" authorId="4">
      <text>
        <r>
          <rPr>
            <b/>
            <sz val="9"/>
            <color indexed="53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3"/>
            <rFont val="Tahoma"/>
            <family val="2"/>
          </rPr>
          <t>Congés Payés Inclus</t>
        </r>
        <r>
          <rPr>
            <b/>
            <sz val="9"/>
            <rFont val="Tahoma"/>
            <family val="2"/>
          </rPr>
          <t xml:space="preserve"> : 
</t>
        </r>
        <r>
          <rPr>
            <b/>
            <u val="single"/>
            <sz val="9"/>
            <color indexed="10"/>
            <rFont val="Tahoma"/>
            <family val="2"/>
          </rPr>
          <t>Indiquer séparément</t>
        </r>
        <r>
          <rPr>
            <sz val="9"/>
            <rFont val="Tahoma"/>
            <family val="2"/>
          </rPr>
          <t xml:space="preserve"> les salaires correspondant aux  Heures complémentaires et supplémentaires et </t>
        </r>
        <r>
          <rPr>
            <b/>
            <u val="single"/>
            <sz val="9"/>
            <color indexed="10"/>
            <rFont val="Tahoma"/>
            <family val="2"/>
          </rPr>
          <t xml:space="preserve">verse en plus du salaire de base </t>
        </r>
        <r>
          <rPr>
            <sz val="9"/>
            <rFont val="Tahoma"/>
            <family val="2"/>
          </rPr>
          <t>pour prendre en compte l exnération des cotisations et la défiscalisation sur le bulletin de salaire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17"/>
            <rFont val="Tahoma"/>
            <family val="2"/>
          </rPr>
          <t>Congés payés Non Inclus</t>
        </r>
        <r>
          <rPr>
            <b/>
            <sz val="9"/>
            <color indexed="17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color indexed="10"/>
            <rFont val="Tahoma"/>
            <family val="2"/>
          </rPr>
          <t xml:space="preserve">Indiquer séparément </t>
        </r>
        <r>
          <rPr>
            <sz val="9"/>
            <rFont val="Tahoma"/>
            <family val="2"/>
          </rPr>
          <t>les salaires correspondant aux  Heures complémentaires et supplémentaires pour prendre en compte l exnération des cotisations et la défiscalisation sur le bulletin de salaire</t>
        </r>
      </text>
    </comment>
    <comment ref="L23" authorId="1">
      <text>
        <r>
          <rPr>
            <b/>
            <sz val="9"/>
            <color indexed="53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3"/>
            <rFont val="Tahoma"/>
            <family val="2"/>
          </rPr>
          <t xml:space="preserve">Congés Payés Inclus </t>
        </r>
        <r>
          <rPr>
            <b/>
            <sz val="9"/>
            <color indexed="57"/>
            <rFont val="Tahoma"/>
            <family val="2"/>
          </rPr>
          <t xml:space="preserve">: 
</t>
        </r>
        <r>
          <rPr>
            <sz val="9"/>
            <rFont val="Tahoma"/>
            <family val="2"/>
          </rPr>
          <t xml:space="preserve">Montant mensuel correspondant aux  11% de CP  sur les Heures complémentaires et supplémentaires </t>
        </r>
        <r>
          <rPr>
            <b/>
            <sz val="9"/>
            <color indexed="53"/>
            <rFont val="Tahoma"/>
            <family val="2"/>
          </rPr>
          <t>à verser en plus du salaire mensualisé de base</t>
        </r>
        <r>
          <rPr>
            <b/>
            <sz val="9"/>
            <color indexed="57"/>
            <rFont val="Tahoma"/>
            <family val="2"/>
          </rPr>
          <t xml:space="preserve">
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Inclus:</t>
        </r>
        <r>
          <rPr>
            <b/>
            <sz val="9"/>
            <color indexed="57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Montant mensuel</t>
        </r>
        <r>
          <rPr>
            <b/>
            <sz val="9"/>
            <color indexed="57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à verser en plus du salaire</t>
        </r>
        <r>
          <rPr>
            <sz val="9"/>
            <rFont val="Tahoma"/>
            <family val="2"/>
          </rPr>
          <t xml:space="preserve"> correspondant aux 11% de CP  Heures complémentaires et supplémentaires</t>
        </r>
        <r>
          <rPr>
            <b/>
            <sz val="9"/>
            <color indexed="57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>Congés Payés Inclus</t>
        </r>
        <r>
          <rPr>
            <b/>
            <sz val="9"/>
            <color indexed="52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 xml:space="preserve">: </t>
        </r>
        <r>
          <rPr>
            <sz val="9"/>
            <rFont val="Tahoma"/>
            <family val="2"/>
          </rPr>
          <t>11% CP Heures complémentaires et supplémentaires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b/>
            <sz val="9"/>
            <color indexed="57"/>
            <rFont val="Tahoma"/>
            <family val="2"/>
          </rPr>
          <t>:</t>
        </r>
        <r>
          <rPr>
            <sz val="9"/>
            <color indexed="8"/>
            <rFont val="Tahoma"/>
            <family val="2"/>
          </rPr>
          <t xml:space="preserve">
Autre Formule de calcul intégrant mensuellement les 10% de CP dus sur le salaire de base et sur les H Compl et suppl et  </t>
        </r>
        <r>
          <rPr>
            <b/>
            <sz val="9"/>
            <color indexed="10"/>
            <rFont val="Tahoma"/>
            <family val="2"/>
          </rPr>
          <t>en fin d'année de référence seulement</t>
        </r>
        <r>
          <rPr>
            <sz val="9"/>
            <color indexed="8"/>
            <rFont val="Tahoma"/>
            <family val="2"/>
          </rPr>
          <t xml:space="preserve"> les 10% dus sur les  CP ( = montant équivalent cellule J 41)</t>
        </r>
      </text>
    </comment>
    <comment ref="I52" authorId="0">
      <text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b/>
            <sz val="9"/>
            <color indexed="57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Indiquer le salaire mensualisé -</t>
        </r>
        <r>
          <rPr>
            <b/>
            <sz val="9"/>
            <color indexed="10"/>
            <rFont val="Tahoma"/>
            <family val="2"/>
          </rPr>
          <t xml:space="preserve"> Sans les heures compl ou suppl </t>
        </r>
        <r>
          <rPr>
            <sz val="9"/>
            <color indexed="8"/>
            <rFont val="Tahoma"/>
            <family val="2"/>
          </rPr>
          <t xml:space="preserve">- minoré le cas échéant en cas d'absence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 xml:space="preserve">Congés Payés Inclus </t>
        </r>
        <r>
          <rPr>
            <b/>
            <sz val="9"/>
            <color indexed="52"/>
            <rFont val="Tahoma"/>
            <family val="2"/>
          </rPr>
          <t>: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Indiquer le salaire mensualisé -</t>
        </r>
        <r>
          <rPr>
            <b/>
            <sz val="9"/>
            <color indexed="10"/>
            <rFont val="Tahoma"/>
            <family val="2"/>
          </rPr>
          <t xml:space="preserve"> Sans les heures compl ou supp</t>
        </r>
        <r>
          <rPr>
            <sz val="9"/>
            <color indexed="8"/>
            <rFont val="Tahoma"/>
            <family val="2"/>
          </rPr>
          <t xml:space="preserve"> - lminoré le cas échéant en cas d'absence</t>
        </r>
      </text>
    </comment>
    <comment ref="J52" authorId="1">
      <text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>Congés Payés Inclus</t>
        </r>
        <r>
          <rPr>
            <sz val="9"/>
            <rFont val="Tahoma"/>
            <family val="2"/>
          </rPr>
          <t xml:space="preserve"> : Montant mensuel correspondant aux  CP </t>
        </r>
        <r>
          <rPr>
            <b/>
            <u val="single"/>
            <sz val="9"/>
            <rFont val="Tahoma"/>
            <family val="2"/>
          </rPr>
          <t>inclus dans le salaire</t>
        </r>
        <r>
          <rPr>
            <sz val="9"/>
            <rFont val="Tahoma"/>
            <family val="2"/>
          </rPr>
          <t xml:space="preserve">  </t>
        </r>
        <r>
          <rPr>
            <b/>
            <u val="single"/>
            <sz val="9"/>
            <color indexed="10"/>
            <rFont val="Tahoma"/>
            <family val="2"/>
          </rPr>
          <t>HORMIS CP</t>
        </r>
        <r>
          <rPr>
            <sz val="9"/>
            <color indexed="10"/>
            <rFont val="Tahoma"/>
            <family val="2"/>
          </rPr>
          <t xml:space="preserve"> Heures complémentaires et supplémentaires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sz val="9"/>
            <rFont val="Tahoma"/>
            <family val="2"/>
          </rPr>
          <t>:
Montant mensuel à</t>
        </r>
        <r>
          <rPr>
            <b/>
            <u val="single"/>
            <sz val="9"/>
            <rFont val="Tahoma"/>
            <family val="2"/>
          </rPr>
          <t xml:space="preserve"> verser en plus du salaire</t>
        </r>
        <r>
          <rPr>
            <sz val="9"/>
            <rFont val="Tahoma"/>
            <family val="2"/>
          </rPr>
          <t xml:space="preserve"> correspondant aux </t>
        </r>
        <r>
          <rPr>
            <b/>
            <sz val="9"/>
            <rFont val="Tahoma"/>
            <family val="2"/>
          </rPr>
          <t>11%</t>
        </r>
        <r>
          <rPr>
            <sz val="9"/>
            <rFont val="Tahoma"/>
            <family val="2"/>
          </rPr>
          <t xml:space="preserve"> de CP </t>
        </r>
        <r>
          <rPr>
            <b/>
            <u val="single"/>
            <sz val="9"/>
            <rFont val="Tahoma"/>
            <family val="2"/>
          </rPr>
          <t xml:space="preserve">sur le salaire mensuel de base càd   </t>
        </r>
        <r>
          <rPr>
            <b/>
            <u val="single"/>
            <sz val="9"/>
            <color indexed="10"/>
            <rFont val="Tahoma"/>
            <family val="2"/>
          </rPr>
          <t>HORMIS CP</t>
        </r>
        <r>
          <rPr>
            <b/>
            <u val="single"/>
            <sz val="9"/>
            <rFont val="Tahoma"/>
            <family val="2"/>
          </rPr>
          <t xml:space="preserve"> Heures complémentaires et supplémentaires</t>
        </r>
      </text>
    </comment>
    <comment ref="K52" authorId="4">
      <text>
        <r>
          <rPr>
            <b/>
            <sz val="9"/>
            <color indexed="53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3"/>
            <rFont val="Tahoma"/>
            <family val="2"/>
          </rPr>
          <t>Congés Payés Inclus</t>
        </r>
        <r>
          <rPr>
            <b/>
            <sz val="9"/>
            <rFont val="Tahoma"/>
            <family val="2"/>
          </rPr>
          <t xml:space="preserve"> : 
</t>
        </r>
        <r>
          <rPr>
            <b/>
            <u val="single"/>
            <sz val="9"/>
            <color indexed="10"/>
            <rFont val="Tahoma"/>
            <family val="2"/>
          </rPr>
          <t>Indiquer séparément</t>
        </r>
        <r>
          <rPr>
            <sz val="9"/>
            <rFont val="Tahoma"/>
            <family val="2"/>
          </rPr>
          <t xml:space="preserve"> les salaires correspondant aux  Heures complémentaires et supplémentaires et </t>
        </r>
        <r>
          <rPr>
            <b/>
            <u val="single"/>
            <sz val="9"/>
            <color indexed="10"/>
            <rFont val="Tahoma"/>
            <family val="2"/>
          </rPr>
          <t xml:space="preserve">verse en plus du salaire de base </t>
        </r>
        <r>
          <rPr>
            <sz val="9"/>
            <rFont val="Tahoma"/>
            <family val="2"/>
          </rPr>
          <t>pour prendre en compte l exnération des cotisations et la défiscalisation sur le bulletin de salaire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17"/>
            <rFont val="Tahoma"/>
            <family val="2"/>
          </rPr>
          <t>Congés payés Non Inclus</t>
        </r>
        <r>
          <rPr>
            <b/>
            <sz val="9"/>
            <color indexed="17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color indexed="10"/>
            <rFont val="Tahoma"/>
            <family val="2"/>
          </rPr>
          <t xml:space="preserve">Indiquer séparément </t>
        </r>
        <r>
          <rPr>
            <sz val="9"/>
            <rFont val="Tahoma"/>
            <family val="2"/>
          </rPr>
          <t>les salaires correspondant aux  Heures complémentaires et supplémentaires pour prendre en compte l exnération des cotisations et la défiscalisation sur le bulletin de salaire</t>
        </r>
      </text>
    </comment>
    <comment ref="L52" authorId="1">
      <text>
        <r>
          <rPr>
            <b/>
            <sz val="9"/>
            <color indexed="53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3"/>
            <rFont val="Tahoma"/>
            <family val="2"/>
          </rPr>
          <t xml:space="preserve">Congés Payés Inclus </t>
        </r>
        <r>
          <rPr>
            <b/>
            <sz val="9"/>
            <color indexed="57"/>
            <rFont val="Tahoma"/>
            <family val="2"/>
          </rPr>
          <t xml:space="preserve">: 
</t>
        </r>
        <r>
          <rPr>
            <sz val="9"/>
            <rFont val="Tahoma"/>
            <family val="2"/>
          </rPr>
          <t xml:space="preserve">Montant mensuel correspondant aux  11% de CP  sur les Heures complémentaires et supplémentaires </t>
        </r>
        <r>
          <rPr>
            <b/>
            <sz val="9"/>
            <color indexed="53"/>
            <rFont val="Tahoma"/>
            <family val="2"/>
          </rPr>
          <t>à verser en plus du salaire mensualisé de base</t>
        </r>
        <r>
          <rPr>
            <b/>
            <sz val="9"/>
            <color indexed="57"/>
            <rFont val="Tahoma"/>
            <family val="2"/>
          </rPr>
          <t xml:space="preserve">
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Inclus:</t>
        </r>
        <r>
          <rPr>
            <b/>
            <sz val="9"/>
            <color indexed="57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Montant mensuel</t>
        </r>
        <r>
          <rPr>
            <b/>
            <sz val="9"/>
            <color indexed="57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à verser en plus du salaire</t>
        </r>
        <r>
          <rPr>
            <sz val="9"/>
            <rFont val="Tahoma"/>
            <family val="2"/>
          </rPr>
          <t xml:space="preserve"> correspondant aux 11% de CP  Heures complémentaires et supplémentaires</t>
        </r>
        <r>
          <rPr>
            <b/>
            <sz val="9"/>
            <color indexed="57"/>
            <rFont val="Tahoma"/>
            <family val="2"/>
          </rPr>
          <t xml:space="preserve">
</t>
        </r>
      </text>
    </comment>
    <comment ref="M52" authorId="0">
      <text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>Congés Payés Inclus</t>
        </r>
        <r>
          <rPr>
            <b/>
            <sz val="9"/>
            <color indexed="52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 xml:space="preserve">: </t>
        </r>
        <r>
          <rPr>
            <sz val="9"/>
            <rFont val="Tahoma"/>
            <family val="2"/>
          </rPr>
          <t>11% CP Heures complémentaires et supplémentaires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b/>
            <sz val="9"/>
            <color indexed="57"/>
            <rFont val="Tahoma"/>
            <family val="2"/>
          </rPr>
          <t>:</t>
        </r>
        <r>
          <rPr>
            <sz val="9"/>
            <color indexed="8"/>
            <rFont val="Tahoma"/>
            <family val="2"/>
          </rPr>
          <t xml:space="preserve">
Autre Formule de calcul intégrant mensuellement les 10% de CP dus sur le salaire de base et sur les H Compl et suppl et  </t>
        </r>
        <r>
          <rPr>
            <b/>
            <sz val="9"/>
            <color indexed="10"/>
            <rFont val="Tahoma"/>
            <family val="2"/>
          </rPr>
          <t>en fin d'année de référence seulement</t>
        </r>
        <r>
          <rPr>
            <sz val="9"/>
            <color indexed="8"/>
            <rFont val="Tahoma"/>
            <family val="2"/>
          </rPr>
          <t xml:space="preserve"> les 10% dus sur les  CP ( = montant équivalent cellule J 41)</t>
        </r>
      </text>
    </comment>
    <comment ref="I81" authorId="0">
      <text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b/>
            <sz val="9"/>
            <color indexed="57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Indiquer le salaire mensualisé -</t>
        </r>
        <r>
          <rPr>
            <b/>
            <sz val="9"/>
            <color indexed="10"/>
            <rFont val="Tahoma"/>
            <family val="2"/>
          </rPr>
          <t xml:space="preserve"> Sans les heures compl ou suppl </t>
        </r>
        <r>
          <rPr>
            <sz val="9"/>
            <color indexed="8"/>
            <rFont val="Tahoma"/>
            <family val="2"/>
          </rPr>
          <t xml:space="preserve">- minoré le cas échéant en cas d'absence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 xml:space="preserve">Congés Payés Inclus </t>
        </r>
        <r>
          <rPr>
            <b/>
            <sz val="9"/>
            <color indexed="52"/>
            <rFont val="Tahoma"/>
            <family val="2"/>
          </rPr>
          <t>: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Indiquer le salaire mensualisé -</t>
        </r>
        <r>
          <rPr>
            <b/>
            <sz val="9"/>
            <color indexed="10"/>
            <rFont val="Tahoma"/>
            <family val="2"/>
          </rPr>
          <t xml:space="preserve"> Sans les heures compl ou supp</t>
        </r>
        <r>
          <rPr>
            <sz val="9"/>
            <color indexed="8"/>
            <rFont val="Tahoma"/>
            <family val="2"/>
          </rPr>
          <t xml:space="preserve"> - lminoré le cas échéant en cas d'absence</t>
        </r>
      </text>
    </comment>
    <comment ref="J81" authorId="1">
      <text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>Congés Payés Inclus</t>
        </r>
        <r>
          <rPr>
            <sz val="9"/>
            <rFont val="Tahoma"/>
            <family val="2"/>
          </rPr>
          <t xml:space="preserve"> : Montant mensuel correspondant aux  CP </t>
        </r>
        <r>
          <rPr>
            <b/>
            <u val="single"/>
            <sz val="9"/>
            <rFont val="Tahoma"/>
            <family val="2"/>
          </rPr>
          <t>inclus dans le salaire</t>
        </r>
        <r>
          <rPr>
            <sz val="9"/>
            <rFont val="Tahoma"/>
            <family val="2"/>
          </rPr>
          <t xml:space="preserve">  </t>
        </r>
        <r>
          <rPr>
            <b/>
            <u val="single"/>
            <sz val="9"/>
            <color indexed="10"/>
            <rFont val="Tahoma"/>
            <family val="2"/>
          </rPr>
          <t>HORMIS CP</t>
        </r>
        <r>
          <rPr>
            <sz val="9"/>
            <color indexed="10"/>
            <rFont val="Tahoma"/>
            <family val="2"/>
          </rPr>
          <t xml:space="preserve"> Heures complémentaires et supplémentaires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sz val="9"/>
            <rFont val="Tahoma"/>
            <family val="2"/>
          </rPr>
          <t>:
Montant mensuel à</t>
        </r>
        <r>
          <rPr>
            <b/>
            <u val="single"/>
            <sz val="9"/>
            <rFont val="Tahoma"/>
            <family val="2"/>
          </rPr>
          <t xml:space="preserve"> verser en plus du salaire</t>
        </r>
        <r>
          <rPr>
            <sz val="9"/>
            <rFont val="Tahoma"/>
            <family val="2"/>
          </rPr>
          <t xml:space="preserve"> correspondant aux </t>
        </r>
        <r>
          <rPr>
            <b/>
            <sz val="9"/>
            <rFont val="Tahoma"/>
            <family val="2"/>
          </rPr>
          <t>11%</t>
        </r>
        <r>
          <rPr>
            <sz val="9"/>
            <rFont val="Tahoma"/>
            <family val="2"/>
          </rPr>
          <t xml:space="preserve"> de CP </t>
        </r>
        <r>
          <rPr>
            <b/>
            <u val="single"/>
            <sz val="9"/>
            <rFont val="Tahoma"/>
            <family val="2"/>
          </rPr>
          <t xml:space="preserve">sur le salaire mensuel de base càd   </t>
        </r>
        <r>
          <rPr>
            <b/>
            <u val="single"/>
            <sz val="9"/>
            <color indexed="10"/>
            <rFont val="Tahoma"/>
            <family val="2"/>
          </rPr>
          <t>HORMIS CP</t>
        </r>
        <r>
          <rPr>
            <b/>
            <u val="single"/>
            <sz val="9"/>
            <rFont val="Tahoma"/>
            <family val="2"/>
          </rPr>
          <t xml:space="preserve"> Heures complémentaires et supplémentaires</t>
        </r>
      </text>
    </comment>
    <comment ref="K81" authorId="4">
      <text>
        <r>
          <rPr>
            <b/>
            <sz val="9"/>
            <color indexed="53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3"/>
            <rFont val="Tahoma"/>
            <family val="2"/>
          </rPr>
          <t>Congés Payés Inclus</t>
        </r>
        <r>
          <rPr>
            <b/>
            <sz val="9"/>
            <rFont val="Tahoma"/>
            <family val="2"/>
          </rPr>
          <t xml:space="preserve"> : 
</t>
        </r>
        <r>
          <rPr>
            <b/>
            <u val="single"/>
            <sz val="9"/>
            <color indexed="10"/>
            <rFont val="Tahoma"/>
            <family val="2"/>
          </rPr>
          <t>Indiquer séparément</t>
        </r>
        <r>
          <rPr>
            <sz val="9"/>
            <rFont val="Tahoma"/>
            <family val="2"/>
          </rPr>
          <t xml:space="preserve"> les salaires correspondant aux  Heures complémentaires et supplémentaires et </t>
        </r>
        <r>
          <rPr>
            <b/>
            <u val="single"/>
            <sz val="9"/>
            <color indexed="10"/>
            <rFont val="Tahoma"/>
            <family val="2"/>
          </rPr>
          <t xml:space="preserve">verse en plus du salaire de base </t>
        </r>
        <r>
          <rPr>
            <sz val="9"/>
            <rFont val="Tahoma"/>
            <family val="2"/>
          </rPr>
          <t>pour prendre en compte l exnération des cotisations et la défiscalisation sur le bulletin de salaire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17"/>
            <rFont val="Tahoma"/>
            <family val="2"/>
          </rPr>
          <t>Congés payés Non Inclus</t>
        </r>
        <r>
          <rPr>
            <b/>
            <sz val="9"/>
            <color indexed="17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color indexed="10"/>
            <rFont val="Tahoma"/>
            <family val="2"/>
          </rPr>
          <t xml:space="preserve">Indiquer séparément </t>
        </r>
        <r>
          <rPr>
            <sz val="9"/>
            <rFont val="Tahoma"/>
            <family val="2"/>
          </rPr>
          <t>les salaires correspondant aux  Heures complémentaires et supplémentaires pour prendre en compte l exnération des cotisations et la défiscalisation sur le bulletin de salaire</t>
        </r>
      </text>
    </comment>
    <comment ref="L81" authorId="1">
      <text>
        <r>
          <rPr>
            <b/>
            <sz val="9"/>
            <color indexed="53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3"/>
            <rFont val="Tahoma"/>
            <family val="2"/>
          </rPr>
          <t xml:space="preserve">Congés Payés Inclus </t>
        </r>
        <r>
          <rPr>
            <b/>
            <sz val="9"/>
            <color indexed="57"/>
            <rFont val="Tahoma"/>
            <family val="2"/>
          </rPr>
          <t xml:space="preserve">: 
</t>
        </r>
        <r>
          <rPr>
            <sz val="9"/>
            <rFont val="Tahoma"/>
            <family val="2"/>
          </rPr>
          <t xml:space="preserve">Montant mensuel correspondant aux  11% de CP  sur les Heures complémentaires et supplémentaires </t>
        </r>
        <r>
          <rPr>
            <b/>
            <sz val="9"/>
            <color indexed="53"/>
            <rFont val="Tahoma"/>
            <family val="2"/>
          </rPr>
          <t>à verser en plus du salaire mensualisé de base</t>
        </r>
        <r>
          <rPr>
            <b/>
            <sz val="9"/>
            <color indexed="57"/>
            <rFont val="Tahoma"/>
            <family val="2"/>
          </rPr>
          <t xml:space="preserve">
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Inclus:</t>
        </r>
        <r>
          <rPr>
            <b/>
            <sz val="9"/>
            <color indexed="57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Montant mensuel</t>
        </r>
        <r>
          <rPr>
            <b/>
            <sz val="9"/>
            <color indexed="57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à verser en plus du salaire</t>
        </r>
        <r>
          <rPr>
            <sz val="9"/>
            <rFont val="Tahoma"/>
            <family val="2"/>
          </rPr>
          <t xml:space="preserve"> correspondant aux 11% de CP  Heures complémentaires et supplémentaires</t>
        </r>
        <r>
          <rPr>
            <b/>
            <sz val="9"/>
            <color indexed="57"/>
            <rFont val="Tahoma"/>
            <family val="2"/>
          </rPr>
          <t xml:space="preserve">
</t>
        </r>
      </text>
    </comment>
    <comment ref="M81" authorId="0">
      <text>
        <r>
          <rPr>
            <b/>
            <sz val="9"/>
            <color indexed="52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2"/>
            <rFont val="Tahoma"/>
            <family val="2"/>
          </rPr>
          <t>Congés Payés Inclus</t>
        </r>
        <r>
          <rPr>
            <b/>
            <sz val="9"/>
            <color indexed="52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 xml:space="preserve">: </t>
        </r>
        <r>
          <rPr>
            <sz val="9"/>
            <rFont val="Tahoma"/>
            <family val="2"/>
          </rPr>
          <t>11% CP Heures complémentaires et supplémentaires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57"/>
            <rFont val="Tahoma"/>
            <family val="2"/>
          </rPr>
          <t xml:space="preserve">Mensualisation </t>
        </r>
        <r>
          <rPr>
            <b/>
            <u val="single"/>
            <sz val="9"/>
            <color indexed="57"/>
            <rFont val="Tahoma"/>
            <family val="2"/>
          </rPr>
          <t>Congés payés Non Inclus</t>
        </r>
        <r>
          <rPr>
            <b/>
            <sz val="9"/>
            <color indexed="57"/>
            <rFont val="Tahoma"/>
            <family val="2"/>
          </rPr>
          <t>:</t>
        </r>
        <r>
          <rPr>
            <sz val="9"/>
            <color indexed="8"/>
            <rFont val="Tahoma"/>
            <family val="2"/>
          </rPr>
          <t xml:space="preserve">
Autre Formule de calcul intégrant mensuellement les 10% de CP dus sur le salaire de base et sur les H Compl et suppl et  </t>
        </r>
        <r>
          <rPr>
            <b/>
            <sz val="9"/>
            <color indexed="10"/>
            <rFont val="Tahoma"/>
            <family val="2"/>
          </rPr>
          <t>en fin d'année de référence seulement</t>
        </r>
        <r>
          <rPr>
            <sz val="9"/>
            <color indexed="8"/>
            <rFont val="Tahoma"/>
            <family val="2"/>
          </rPr>
          <t xml:space="preserve"> les 10% dus sur les  CP ( = montant équivalent cellule J 41)</t>
        </r>
      </text>
    </comment>
  </commentList>
</comments>
</file>

<file path=xl/comments3.xml><?xml version="1.0" encoding="utf-8"?>
<comments xmlns="http://schemas.openxmlformats.org/spreadsheetml/2006/main">
  <authors>
    <author>Unsa</author>
  </authors>
  <commentList>
    <comment ref="D26" authorId="0">
      <text>
        <r>
          <rPr>
            <b/>
            <sz val="9"/>
            <rFont val="Tahoma"/>
            <family val="2"/>
          </rPr>
          <t xml:space="preserve">Saisir </t>
        </r>
        <r>
          <rPr>
            <sz val="8"/>
            <color theme="1"/>
            <rFont val="Calibri"/>
            <family val="2"/>
          </rPr>
          <t xml:space="preserve">Nombre de semaines totales d’absence pour maladie non professionnelle dans l’année de référence </t>
        </r>
      </text>
    </comment>
    <comment ref="D28" authorId="0">
      <text>
        <r>
          <rPr>
            <b/>
            <sz val="9"/>
            <rFont val="Tahoma"/>
            <family val="2"/>
          </rPr>
          <t>Saisir</t>
        </r>
        <r>
          <rPr>
            <sz val="9"/>
            <rFont val="Tahoma"/>
            <family val="2"/>
          </rPr>
          <t xml:space="preserve"> Nombre de semaines totales d’absence pour maladie non professionnelle dans l’année de référence 
</t>
        </r>
      </text>
    </comment>
    <comment ref="D30" authorId="0">
      <text>
        <r>
          <rPr>
            <b/>
            <sz val="9"/>
            <rFont val="Tahoma"/>
            <family val="2"/>
          </rPr>
          <t xml:space="preserve">Saisir </t>
        </r>
        <r>
          <rPr>
            <sz val="8"/>
            <color theme="1"/>
            <rFont val="Calibri"/>
            <family val="2"/>
          </rPr>
          <t>Nombre de semaines totales d’absence pour maladie non professionnelle dans l’année de référence</t>
        </r>
        <r>
          <rPr>
            <b/>
            <sz val="9"/>
            <rFont val="Tahoma"/>
            <family val="2"/>
          </rPr>
          <t xml:space="preserve"> </t>
        </r>
      </text>
    </comment>
    <comment ref="J26" authorId="0">
      <text>
        <r>
          <rPr>
            <b/>
            <sz val="9"/>
            <rFont val="Tahoma"/>
            <family val="2"/>
          </rPr>
          <t xml:space="preserve">Saisir </t>
        </r>
        <r>
          <rPr>
            <sz val="8"/>
            <color theme="1"/>
            <rFont val="Calibri"/>
            <family val="2"/>
          </rPr>
          <t xml:space="preserve">Nombre de semaines totales d’absence pour maladie non professionnelle dans l’année de référence </t>
        </r>
      </text>
    </comment>
    <comment ref="J28" authorId="0">
      <text>
        <r>
          <rPr>
            <b/>
            <sz val="9"/>
            <rFont val="Tahoma"/>
            <family val="2"/>
          </rPr>
          <t xml:space="preserve">Saisir </t>
        </r>
        <r>
          <rPr>
            <sz val="8"/>
            <color theme="1"/>
            <rFont val="Calibri"/>
            <family val="2"/>
          </rPr>
          <t xml:space="preserve">Nombre de semaines totales d’absence pour maladie non professionnelle dans l’année de référence </t>
        </r>
      </text>
    </comment>
    <comment ref="J30" authorId="0">
      <text>
        <r>
          <rPr>
            <b/>
            <sz val="9"/>
            <rFont val="Tahoma"/>
            <family val="2"/>
          </rPr>
          <t xml:space="preserve">Saisir </t>
        </r>
        <r>
          <rPr>
            <sz val="8"/>
            <color theme="1"/>
            <rFont val="Calibri"/>
            <family val="2"/>
          </rPr>
          <t xml:space="preserve">Nombre de semaines totales d’absence pour maladie non professionnelle dans l’année de référence </t>
        </r>
      </text>
    </comment>
  </commentList>
</comments>
</file>

<file path=xl/sharedStrings.xml><?xml version="1.0" encoding="utf-8"?>
<sst xmlns="http://schemas.openxmlformats.org/spreadsheetml/2006/main" count="304" uniqueCount="80">
  <si>
    <t>Congés pris</t>
  </si>
  <si>
    <t xml:space="preserve">Congés acquis </t>
  </si>
  <si>
    <t>oui</t>
  </si>
  <si>
    <t>non</t>
  </si>
  <si>
    <t>1er année de référence</t>
  </si>
  <si>
    <t>MENSUALISATION</t>
  </si>
  <si>
    <t>VALEUR 1 JOUR CP</t>
  </si>
  <si>
    <t>Jours de fractionnement</t>
  </si>
  <si>
    <t xml:space="preserve">10ème mois année référence </t>
  </si>
  <si>
    <t xml:space="preserve">11ème mois année référence </t>
  </si>
  <si>
    <t xml:space="preserve">12ème mois année référence </t>
  </si>
  <si>
    <t>9ème   mois année référence</t>
  </si>
  <si>
    <t>8ème   mois année référence</t>
  </si>
  <si>
    <t>7ème   mois année référence</t>
  </si>
  <si>
    <t>6ème   mois année référence</t>
  </si>
  <si>
    <t>5ème   mois année référence</t>
  </si>
  <si>
    <t>4ème   mois année référence</t>
  </si>
  <si>
    <t xml:space="preserve">3ème   mois année référence </t>
  </si>
  <si>
    <t xml:space="preserve">2ème   mois année référence </t>
  </si>
  <si>
    <t xml:space="preserve">1er      mois année référence </t>
  </si>
  <si>
    <t>au</t>
  </si>
  <si>
    <t xml:space="preserve">Total jours ouvrables </t>
  </si>
  <si>
    <t>Total jours ouvrables acquis</t>
  </si>
  <si>
    <t>1ère Année de référence contractualisée</t>
  </si>
  <si>
    <t>Cette période est elle votre fin de contrat ?</t>
  </si>
  <si>
    <t>3e année de référence</t>
  </si>
  <si>
    <t>2e année de référence</t>
  </si>
  <si>
    <t>3ème Année de référence contractualisée</t>
  </si>
  <si>
    <t>2ème Année de référence contractualisée</t>
  </si>
  <si>
    <t>Mensualisation Congés Payés Non  Inclus</t>
  </si>
  <si>
    <t>Mensualisation Congés Payés Inclus</t>
  </si>
  <si>
    <t xml:space="preserve">Date du début du contrat de travail </t>
  </si>
  <si>
    <t>au cours de l’année de référence qui dure 12 mois ; le salarié acquiert et doit avoir pris 30 jours ouvrables de congés</t>
  </si>
  <si>
    <t>Calcul Montant Maintien de salaire</t>
  </si>
  <si>
    <r>
      <t xml:space="preserve">Calcul Montant du 10ème  </t>
    </r>
  </si>
  <si>
    <t xml:space="preserve"> CALCUL DURÉE des CONGÉS PAYÉS</t>
  </si>
  <si>
    <t xml:space="preserve"> CALCUL MONTANT DES CONGÉS PAYES </t>
  </si>
  <si>
    <t>Total</t>
  </si>
  <si>
    <t>Congés payés pris</t>
  </si>
  <si>
    <t>Congés acquis</t>
  </si>
  <si>
    <t>Montant des  CP acquis &amp; pris</t>
  </si>
  <si>
    <t>Montant des CP acquis &amp; non pris</t>
  </si>
  <si>
    <t xml:space="preserve">CALCUL MONTANT DES CONGÉS PAYES </t>
  </si>
  <si>
    <t xml:space="preserve">Toujours retenir la méthode la plus favorable entre </t>
  </si>
  <si>
    <t>maintien de salaire &amp; 10ème</t>
  </si>
  <si>
    <t>Report congé</t>
  </si>
  <si>
    <r>
      <t xml:space="preserve">Pour les Congés Payés  il ne suffit pas qu’ils soient payés – ils doivent aussi </t>
    </r>
    <r>
      <rPr>
        <b/>
        <u val="single"/>
        <sz val="12"/>
        <color indexed="10"/>
        <rFont val="Cambria"/>
        <family val="1"/>
      </rPr>
      <t>être pris</t>
    </r>
    <r>
      <rPr>
        <b/>
        <sz val="12"/>
        <color indexed="49"/>
        <rFont val="Cambria"/>
        <family val="1"/>
      </rPr>
      <t xml:space="preserve"> - Sinon cela revient à ce que ce temps de congé a été travaillé :</t>
    </r>
  </si>
  <si>
    <r>
      <t>Choississez en mettant une croix (</t>
    </r>
    <r>
      <rPr>
        <b/>
        <sz val="12"/>
        <color indexed="9"/>
        <rFont val="Cambria"/>
        <family val="1"/>
      </rPr>
      <t>x</t>
    </r>
    <r>
      <rPr>
        <sz val="12"/>
        <color indexed="8"/>
        <rFont val="Cambria"/>
        <family val="1"/>
      </rPr>
      <t>)</t>
    </r>
  </si>
  <si>
    <r>
      <rPr>
        <sz val="10"/>
        <color indexed="56"/>
        <rFont val="Cambria"/>
        <family val="1"/>
      </rPr>
      <t>*Les</t>
    </r>
    <r>
      <rPr>
        <sz val="11"/>
        <color indexed="56"/>
        <rFont val="Cambria"/>
        <family val="1"/>
      </rPr>
      <t xml:space="preserve"> congés payés acquis &amp; non pris au moment de la rupture du contrat génèrent le versement d' une indemnité compensatrice. </t>
    </r>
  </si>
  <si>
    <t>x</t>
  </si>
  <si>
    <t>Adresse professionnelle du salarié (e )</t>
  </si>
  <si>
    <t>Nom Prénom du salarié (e )</t>
  </si>
  <si>
    <t>Nom Prénom de l'employeur</t>
  </si>
  <si>
    <t>Signature Salarié(e)</t>
  </si>
  <si>
    <t>Signatures Employeur</t>
  </si>
  <si>
    <t>Déduction des CP-maladie non professionnelle *</t>
  </si>
  <si>
    <t xml:space="preserve">Tableau des concordances </t>
  </si>
  <si>
    <r>
      <t>Nombre de semaines totales d’absence pour maladie non professionnelle</t>
    </r>
    <r>
      <rPr>
        <b/>
        <sz val="9"/>
        <color indexed="10"/>
        <rFont val="Cambria"/>
        <family val="1"/>
      </rPr>
      <t xml:space="preserve"> dans l’année de référence </t>
    </r>
  </si>
  <si>
    <r>
      <t>Nombre de jours de CP à déduire  à la ligne: "</t>
    </r>
    <r>
      <rPr>
        <b/>
        <sz val="8"/>
        <color indexed="56"/>
        <rFont val="Cambria"/>
        <family val="1"/>
      </rPr>
      <t>Déduction des CP en cas d’arrêt de travail*</t>
    </r>
    <r>
      <rPr>
        <sz val="8"/>
        <color indexed="56"/>
        <rFont val="Cambria"/>
        <family val="1"/>
      </rPr>
      <t>"</t>
    </r>
  </si>
  <si>
    <t>Onglet: Calcul_cp</t>
  </si>
  <si>
    <t xml:space="preserve">Déduction des CP-maladie non professionnelle </t>
  </si>
  <si>
    <t xml:space="preserve"> </t>
  </si>
  <si>
    <t>tableau</t>
  </si>
  <si>
    <t xml:space="preserve">Congés "Mère/père de famille" </t>
  </si>
  <si>
    <r>
      <rPr>
        <sz val="10"/>
        <color indexed="56"/>
        <rFont val="Cambria"/>
        <family val="1"/>
      </rPr>
      <t xml:space="preserve">*Les congés payés acquis &amp; non pris au moment de la rupture du contrat génèrent le versement d' une indemnité compensatrice. </t>
    </r>
  </si>
  <si>
    <r>
      <t xml:space="preserve">Montant Total CP acquis  </t>
    </r>
    <r>
      <rPr>
        <sz val="12"/>
        <color indexed="56"/>
        <rFont val="Cambria"/>
        <family val="1"/>
      </rPr>
      <t>(Maintien du salaire)</t>
    </r>
  </si>
  <si>
    <r>
      <t>Total CP dus pour l'année</t>
    </r>
    <r>
      <rPr>
        <b/>
        <sz val="9"/>
        <color indexed="56"/>
        <rFont val="Cambria"/>
        <family val="1"/>
      </rPr>
      <t xml:space="preserve"> </t>
    </r>
    <r>
      <rPr>
        <sz val="9"/>
        <color indexed="56"/>
        <rFont val="Cambria"/>
        <family val="1"/>
      </rPr>
      <t>(Méthode 10ème supérieure)</t>
    </r>
  </si>
  <si>
    <r>
      <t>Régularisation à verser</t>
    </r>
    <r>
      <rPr>
        <sz val="11"/>
        <color indexed="56"/>
        <rFont val="Cambria"/>
        <family val="1"/>
      </rPr>
      <t xml:space="preserve"> </t>
    </r>
    <r>
      <rPr>
        <sz val="10"/>
        <color indexed="56"/>
        <rFont val="Cambria"/>
        <family val="1"/>
      </rPr>
      <t>(Méthode 10ème inférieure)</t>
    </r>
  </si>
  <si>
    <t>Indemnité compensatrice de congés payés fin de contrat ou fin d'année référence</t>
  </si>
  <si>
    <t>CP pris</t>
  </si>
  <si>
    <r>
      <rPr>
        <sz val="11"/>
        <color indexed="56"/>
        <rFont val="Cambria"/>
        <family val="1"/>
      </rPr>
      <t xml:space="preserve">*Les congés payés acquis &amp; non pris au moment de la rupture du contrat génèrent le versement d' une indemnité compensatrice. </t>
    </r>
  </si>
  <si>
    <t>Ligne 39</t>
  </si>
  <si>
    <t>Ligne 68</t>
  </si>
  <si>
    <t>Ligne 97</t>
  </si>
  <si>
    <t>Onglet :Poursuite cp sur +3année</t>
  </si>
  <si>
    <t>Report automatique</t>
  </si>
  <si>
    <r>
      <rPr>
        <sz val="16"/>
        <color indexed="10"/>
        <rFont val="Calibri"/>
        <family val="2"/>
      </rPr>
      <t>Ce 2ème tableau n'est valable que pour l</t>
    </r>
    <r>
      <rPr>
        <b/>
        <u val="single"/>
        <sz val="16"/>
        <color indexed="10"/>
        <rFont val="Calibri"/>
        <family val="2"/>
      </rPr>
      <t>e report exclusif</t>
    </r>
    <r>
      <rPr>
        <sz val="16"/>
        <color indexed="10"/>
        <rFont val="Calibri"/>
        <family val="2"/>
      </rPr>
      <t xml:space="preserve"> des congés payés</t>
    </r>
    <r>
      <rPr>
        <b/>
        <sz val="16"/>
        <color indexed="10"/>
        <rFont val="Calibri"/>
        <family val="2"/>
      </rPr>
      <t xml:space="preserve"> </t>
    </r>
    <r>
      <rPr>
        <b/>
        <u val="single"/>
        <sz val="16"/>
        <color indexed="10"/>
        <rFont val="Calibri"/>
        <family val="2"/>
      </rPr>
      <t>non pris de la 3ème année</t>
    </r>
  </si>
  <si>
    <t>Total jrs ouvrables acquis + report des 3 années</t>
  </si>
  <si>
    <t>Poursuite CP sur + 3 année</t>
  </si>
  <si>
    <t>@ANAMAAF-CASAMAAF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</si>
</sst>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0.0000"/>
    <numFmt numFmtId="169" formatCode="ddd\-d\-mmm\-yyyy"/>
    <numFmt numFmtId="170" formatCode="ddd* dd\-mm\-yyyy"/>
    <numFmt numFmtId="171" formatCode="[$-40C]dddd\ d\ mmmm\ yyyy"/>
    <numFmt numFmtId="172" formatCode="[$-F800]dddd\,\ mmmm\ dd\,\ yyyy"/>
    <numFmt numFmtId="173" formatCode="mmm\-yyyy"/>
    <numFmt numFmtId="174" formatCode="0.00&quot;Hrs&quot;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ddd\ dd\ mmm\ yyyy"/>
    <numFmt numFmtId="179" formatCode="m/d/yyyy;@"/>
    <numFmt numFmtId="180" formatCode="[$-40C]d\-mmm\-yy;@"/>
    <numFmt numFmtId="181" formatCode="#,##0.00\ &quot;€&quot;"/>
    <numFmt numFmtId="182" formatCode="mm/yyyy"/>
    <numFmt numFmtId="183" formatCode="[$-40C]mmm\-yy;@"/>
    <numFmt numFmtId="184" formatCode="0&quot; Jrs cp pris&quot;"/>
    <numFmt numFmtId="185" formatCode="0&quot; Jrs à prendre&quot;"/>
    <numFmt numFmtId="186" formatCode="0.000000"/>
    <numFmt numFmtId="187" formatCode="0.00000"/>
    <numFmt numFmtId="188" formatCode="_-* #,##0.00\ [$€-40C]_-;\-* #,##0.00\ [$€-40C]_-;_-* &quot;-&quot;??\ [$€-40C]_-;_-@_-"/>
    <numFmt numFmtId="189" formatCode="0&quot;  cp pris&quot;"/>
    <numFmt numFmtId="190" formatCode="0&quot; Reste à prendre&quot;"/>
    <numFmt numFmtId="191" formatCode="0.0000000"/>
    <numFmt numFmtId="192" formatCode="mmm"/>
    <numFmt numFmtId="193" formatCode="yy"/>
    <numFmt numFmtId="194" formatCode="#,##0.000\ &quot;€&quot;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_-* #,##0.0000\ &quot;€&quot;_-;\-* #,##0.0000\ &quot;€&quot;_-;_-* &quot;-&quot;????\ &quot;€&quot;_-;_-@_-"/>
  </numFmts>
  <fonts count="177">
    <font>
      <sz val="8"/>
      <color theme="1"/>
      <name val="Calibri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9"/>
      <color indexed="10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i/>
      <vertAlign val="superscript"/>
      <sz val="12"/>
      <color indexed="56"/>
      <name val="Calibri"/>
      <family val="2"/>
    </font>
    <font>
      <b/>
      <u val="single"/>
      <sz val="9"/>
      <name val="Tahoma"/>
      <family val="2"/>
    </font>
    <font>
      <b/>
      <u val="single"/>
      <sz val="9"/>
      <color indexed="10"/>
      <name val="Tahoma"/>
      <family val="2"/>
    </font>
    <font>
      <b/>
      <sz val="9"/>
      <color indexed="51"/>
      <name val="Tahoma"/>
      <family val="2"/>
    </font>
    <font>
      <b/>
      <sz val="9"/>
      <color indexed="57"/>
      <name val="Tahoma"/>
      <family val="2"/>
    </font>
    <font>
      <b/>
      <sz val="9"/>
      <color indexed="53"/>
      <name val="Tahoma"/>
      <family val="2"/>
    </font>
    <font>
      <b/>
      <u val="single"/>
      <sz val="9"/>
      <color indexed="53"/>
      <name val="Tahoma"/>
      <family val="2"/>
    </font>
    <font>
      <sz val="10"/>
      <name val="Tahoma"/>
      <family val="2"/>
    </font>
    <font>
      <u val="single"/>
      <sz val="9"/>
      <name val="Tahoma"/>
      <family val="2"/>
    </font>
    <font>
      <sz val="11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12"/>
      <color indexed="10"/>
      <name val="Cambria"/>
      <family val="1"/>
    </font>
    <font>
      <b/>
      <sz val="12"/>
      <color indexed="49"/>
      <name val="Cambria"/>
      <family val="1"/>
    </font>
    <font>
      <b/>
      <sz val="12"/>
      <color indexed="9"/>
      <name val="Cambria"/>
      <family val="1"/>
    </font>
    <font>
      <sz val="12"/>
      <color indexed="8"/>
      <name val="Cambria"/>
      <family val="1"/>
    </font>
    <font>
      <sz val="11"/>
      <color indexed="56"/>
      <name val="Cambria"/>
      <family val="1"/>
    </font>
    <font>
      <sz val="10"/>
      <color indexed="56"/>
      <name val="Cambria"/>
      <family val="1"/>
    </font>
    <font>
      <u val="single"/>
      <sz val="9"/>
      <color indexed="8"/>
      <name val="Tahoma"/>
      <family val="2"/>
    </font>
    <font>
      <b/>
      <i/>
      <u val="single"/>
      <sz val="9"/>
      <name val="Tahoma"/>
      <family val="2"/>
    </font>
    <font>
      <i/>
      <sz val="8"/>
      <name val="Tahoma"/>
      <family val="2"/>
    </font>
    <font>
      <u val="single"/>
      <sz val="9"/>
      <color indexed="10"/>
      <name val="Tahoma"/>
      <family val="2"/>
    </font>
    <font>
      <sz val="11"/>
      <color indexed="10"/>
      <name val="Tahoma"/>
      <family val="2"/>
    </font>
    <font>
      <sz val="12"/>
      <name val="Tahoma"/>
      <family val="2"/>
    </font>
    <font>
      <b/>
      <sz val="9"/>
      <color indexed="10"/>
      <name val="Cambria"/>
      <family val="1"/>
    </font>
    <font>
      <b/>
      <sz val="8"/>
      <color indexed="56"/>
      <name val="Cambria"/>
      <family val="1"/>
    </font>
    <font>
      <sz val="8"/>
      <color indexed="56"/>
      <name val="Cambria"/>
      <family val="1"/>
    </font>
    <font>
      <sz val="12"/>
      <color indexed="56"/>
      <name val="Cambria"/>
      <family val="1"/>
    </font>
    <font>
      <sz val="9"/>
      <color indexed="56"/>
      <name val="Cambria"/>
      <family val="1"/>
    </font>
    <font>
      <b/>
      <sz val="9"/>
      <color indexed="56"/>
      <name val="Cambria"/>
      <family val="1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b/>
      <u val="single"/>
      <sz val="16"/>
      <color indexed="10"/>
      <name val="Calibri"/>
      <family val="2"/>
    </font>
    <font>
      <b/>
      <sz val="9"/>
      <color indexed="52"/>
      <name val="Tahoma"/>
      <family val="2"/>
    </font>
    <font>
      <b/>
      <u val="single"/>
      <sz val="9"/>
      <color indexed="52"/>
      <name val="Tahoma"/>
      <family val="2"/>
    </font>
    <font>
      <b/>
      <u val="single"/>
      <sz val="9"/>
      <color indexed="57"/>
      <name val="Tahoma"/>
      <family val="2"/>
    </font>
    <font>
      <b/>
      <sz val="9"/>
      <color indexed="17"/>
      <name val="Tahoma"/>
      <family val="2"/>
    </font>
    <font>
      <b/>
      <u val="single"/>
      <sz val="9"/>
      <color indexed="17"/>
      <name val="Tahoma"/>
      <family val="2"/>
    </font>
    <font>
      <sz val="8"/>
      <color indexed="9"/>
      <name val="Calibri"/>
      <family val="2"/>
    </font>
    <font>
      <sz val="8"/>
      <color indexed="10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sz val="11"/>
      <color indexed="56"/>
      <name val="Calibri"/>
      <family val="2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10"/>
      <name val="Cambria"/>
      <family val="1"/>
    </font>
    <font>
      <i/>
      <sz val="11"/>
      <color indexed="56"/>
      <name val="Cambria"/>
      <family val="1"/>
    </font>
    <font>
      <sz val="11"/>
      <color indexed="8"/>
      <name val="Cambria"/>
      <family val="1"/>
    </font>
    <font>
      <b/>
      <sz val="11"/>
      <color indexed="56"/>
      <name val="Cambria"/>
      <family val="1"/>
    </font>
    <font>
      <b/>
      <sz val="11"/>
      <color indexed="10"/>
      <name val="Cambria"/>
      <family val="1"/>
    </font>
    <font>
      <sz val="10"/>
      <color indexed="8"/>
      <name val="Calibri"/>
      <family val="2"/>
    </font>
    <font>
      <b/>
      <sz val="10"/>
      <color indexed="49"/>
      <name val="Arial"/>
      <family val="2"/>
    </font>
    <font>
      <sz val="9"/>
      <color indexed="8"/>
      <name val="Calibri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b/>
      <sz val="12"/>
      <color indexed="56"/>
      <name val="Cambria"/>
      <family val="1"/>
    </font>
    <font>
      <b/>
      <sz val="10"/>
      <color indexed="56"/>
      <name val="Cambria"/>
      <family val="1"/>
    </font>
    <font>
      <b/>
      <i/>
      <sz val="14"/>
      <color indexed="9"/>
      <name val="Cambria"/>
      <family val="1"/>
    </font>
    <font>
      <sz val="11"/>
      <color indexed="10"/>
      <name val="Cambria"/>
      <family val="1"/>
    </font>
    <font>
      <sz val="11"/>
      <color indexed="51"/>
      <name val="Cambria"/>
      <family val="1"/>
    </font>
    <font>
      <sz val="11"/>
      <color indexed="47"/>
      <name val="Cambria"/>
      <family val="1"/>
    </font>
    <font>
      <i/>
      <sz val="11"/>
      <color indexed="9"/>
      <name val="Cambria"/>
      <family val="1"/>
    </font>
    <font>
      <sz val="11"/>
      <color indexed="9"/>
      <name val="Cambria"/>
      <family val="1"/>
    </font>
    <font>
      <b/>
      <sz val="11"/>
      <color indexed="47"/>
      <name val="Cambria"/>
      <family val="1"/>
    </font>
    <font>
      <b/>
      <sz val="9"/>
      <color indexed="47"/>
      <name val="Cambria"/>
      <family val="1"/>
    </font>
    <font>
      <sz val="24"/>
      <color indexed="8"/>
      <name val="Calibri"/>
      <family val="2"/>
    </font>
    <font>
      <b/>
      <i/>
      <sz val="14"/>
      <color indexed="56"/>
      <name val="Cambria"/>
      <family val="1"/>
    </font>
    <font>
      <sz val="12"/>
      <color indexed="30"/>
      <name val="Cambria"/>
      <family val="1"/>
    </font>
    <font>
      <sz val="10"/>
      <color indexed="10"/>
      <name val="Cambria"/>
      <family val="1"/>
    </font>
    <font>
      <b/>
      <sz val="11"/>
      <color indexed="9"/>
      <name val="Cambria"/>
      <family val="1"/>
    </font>
    <font>
      <b/>
      <sz val="10"/>
      <color indexed="10"/>
      <name val="Cambria"/>
      <family val="1"/>
    </font>
    <font>
      <b/>
      <sz val="14"/>
      <color indexed="10"/>
      <name val="Calibri"/>
      <family val="2"/>
    </font>
    <font>
      <sz val="9"/>
      <color indexed="10"/>
      <name val="Calibri"/>
      <family val="2"/>
    </font>
    <font>
      <sz val="12"/>
      <color indexed="8"/>
      <name val="Calibri"/>
      <family val="2"/>
    </font>
    <font>
      <sz val="18"/>
      <color indexed="9"/>
      <name val="Calibri"/>
      <family val="0"/>
    </font>
    <font>
      <b/>
      <sz val="11"/>
      <color indexed="9"/>
      <name val="Calibri"/>
      <family val="0"/>
    </font>
    <font>
      <sz val="11"/>
      <color indexed="9"/>
      <name val="Calibri"/>
      <family val="0"/>
    </font>
    <font>
      <b/>
      <sz val="24"/>
      <color indexed="10"/>
      <name val="Calibri"/>
      <family val="0"/>
    </font>
    <font>
      <sz val="11"/>
      <color indexed="10"/>
      <name val="Calibri"/>
      <family val="0"/>
    </font>
    <font>
      <u val="single"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A7D00"/>
      <name val="Calibri"/>
      <family val="2"/>
    </font>
    <font>
      <sz val="8"/>
      <color rgb="FFFA7D00"/>
      <name val="Calibri"/>
      <family val="2"/>
    </font>
    <font>
      <sz val="8"/>
      <color rgb="FF3F3F76"/>
      <name val="Calibri"/>
      <family val="2"/>
    </font>
    <font>
      <sz val="8"/>
      <color rgb="FF9C0006"/>
      <name val="Calibri"/>
      <family val="2"/>
    </font>
    <font>
      <u val="single"/>
      <sz val="8"/>
      <color theme="10"/>
      <name val="Calibri"/>
      <family val="2"/>
    </font>
    <font>
      <u val="single"/>
      <sz val="8"/>
      <color theme="11"/>
      <name val="Calibri"/>
      <family val="2"/>
    </font>
    <font>
      <sz val="8"/>
      <color rgb="FF9C6500"/>
      <name val="Calibri"/>
      <family val="2"/>
    </font>
    <font>
      <sz val="8"/>
      <color rgb="FF0061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11"/>
      <color theme="1"/>
      <name val="Calibri"/>
      <family val="2"/>
    </font>
    <font>
      <b/>
      <sz val="16"/>
      <color rgb="FFFF0000"/>
      <name val="Calibri"/>
      <family val="2"/>
    </font>
    <font>
      <sz val="8"/>
      <color rgb="FF00B050"/>
      <name val="Calibri"/>
      <family val="2"/>
    </font>
    <font>
      <b/>
      <sz val="12"/>
      <color theme="1"/>
      <name val="Book Antiqua"/>
      <family val="1"/>
    </font>
    <font>
      <sz val="11"/>
      <color rgb="FF002060"/>
      <name val="Calibri"/>
      <family val="2"/>
    </font>
    <font>
      <sz val="8"/>
      <color theme="1"/>
      <name val="Cambria"/>
      <family val="1"/>
    </font>
    <font>
      <sz val="11"/>
      <color theme="3"/>
      <name val="Cambria"/>
      <family val="1"/>
    </font>
    <font>
      <sz val="11"/>
      <color rgb="FF002060"/>
      <name val="Cambria"/>
      <family val="1"/>
    </font>
    <font>
      <b/>
      <sz val="11"/>
      <color theme="1"/>
      <name val="Cambria"/>
      <family val="1"/>
    </font>
    <font>
      <sz val="12"/>
      <color rgb="FFFF0000"/>
      <name val="Cambria"/>
      <family val="1"/>
    </font>
    <font>
      <i/>
      <sz val="11"/>
      <color rgb="FF002060"/>
      <name val="Cambria"/>
      <family val="1"/>
    </font>
    <font>
      <sz val="11"/>
      <color theme="1"/>
      <name val="Cambria"/>
      <family val="1"/>
    </font>
    <font>
      <b/>
      <sz val="11"/>
      <color rgb="FF002060"/>
      <name val="Cambria"/>
      <family val="1"/>
    </font>
    <font>
      <b/>
      <sz val="11"/>
      <color rgb="FFFF0000"/>
      <name val="Cambria"/>
      <family val="1"/>
    </font>
    <font>
      <sz val="12"/>
      <color rgb="FF002060"/>
      <name val="Cambria"/>
      <family val="1"/>
    </font>
    <font>
      <sz val="12"/>
      <color theme="1"/>
      <name val="Cambria"/>
      <family val="1"/>
    </font>
    <font>
      <sz val="11"/>
      <color rgb="FF1F497D"/>
      <name val="Cambria"/>
      <family val="1"/>
    </font>
    <font>
      <sz val="10"/>
      <color theme="1"/>
      <name val="Calibri"/>
      <family val="2"/>
    </font>
    <font>
      <sz val="11"/>
      <color theme="3"/>
      <name val="Calibri"/>
      <family val="2"/>
    </font>
    <font>
      <b/>
      <sz val="8"/>
      <color rgb="FF1F497D"/>
      <name val="Cambria"/>
      <family val="1"/>
    </font>
    <font>
      <b/>
      <sz val="10"/>
      <color theme="8" tint="-0.24997000396251678"/>
      <name val="Arial"/>
      <family val="2"/>
    </font>
    <font>
      <sz val="9"/>
      <color theme="1"/>
      <name val="Calibri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12"/>
      <color rgb="FF002060"/>
      <name val="Cambria"/>
      <family val="1"/>
    </font>
    <font>
      <b/>
      <sz val="11"/>
      <color theme="3" tint="-0.4999699890613556"/>
      <name val="Cambria"/>
      <family val="1"/>
    </font>
    <font>
      <b/>
      <sz val="10"/>
      <color theme="3" tint="-0.4999699890613556"/>
      <name val="Cambria"/>
      <family val="1"/>
    </font>
    <font>
      <sz val="11"/>
      <color theme="3" tint="-0.4999699890613556"/>
      <name val="Cambria"/>
      <family val="1"/>
    </font>
    <font>
      <b/>
      <i/>
      <sz val="14"/>
      <color theme="0"/>
      <name val="Cambria"/>
      <family val="1"/>
    </font>
    <font>
      <sz val="11"/>
      <color rgb="FFFF0000"/>
      <name val="Cambria"/>
      <family val="1"/>
    </font>
    <font>
      <sz val="8"/>
      <color theme="3"/>
      <name val="Cambria"/>
      <family val="1"/>
    </font>
    <font>
      <sz val="11"/>
      <color theme="9" tint="0.5999900102615356"/>
      <name val="Cambria"/>
      <family val="1"/>
    </font>
    <font>
      <sz val="11"/>
      <color rgb="FFFFD99B"/>
      <name val="Cambria"/>
      <family val="1"/>
    </font>
    <font>
      <i/>
      <sz val="11"/>
      <color theme="0"/>
      <name val="Cambria"/>
      <family val="1"/>
    </font>
    <font>
      <sz val="11"/>
      <color theme="0"/>
      <name val="Cambria"/>
      <family val="1"/>
    </font>
    <font>
      <b/>
      <sz val="11"/>
      <color rgb="FFFFD99B"/>
      <name val="Cambria"/>
      <family val="1"/>
    </font>
    <font>
      <b/>
      <sz val="9"/>
      <color rgb="FFFFD99B"/>
      <name val="Cambria"/>
      <family val="1"/>
    </font>
    <font>
      <b/>
      <sz val="9"/>
      <color rgb="FF002060"/>
      <name val="Cambria"/>
      <family val="1"/>
    </font>
    <font>
      <sz val="24"/>
      <color theme="1"/>
      <name val="Calibri"/>
      <family val="2"/>
    </font>
    <font>
      <sz val="9"/>
      <color rgb="FFFF0000"/>
      <name val="Calibri"/>
      <family val="2"/>
    </font>
    <font>
      <b/>
      <sz val="11"/>
      <color theme="0"/>
      <name val="Cambria"/>
      <family val="1"/>
    </font>
    <font>
      <sz val="10"/>
      <color rgb="FFFF0000"/>
      <name val="Cambria"/>
      <family val="1"/>
    </font>
    <font>
      <b/>
      <sz val="14"/>
      <color rgb="FFFF0000"/>
      <name val="Calibri"/>
      <family val="2"/>
    </font>
    <font>
      <b/>
      <i/>
      <sz val="14"/>
      <color theme="3"/>
      <name val="Cambria"/>
      <family val="1"/>
    </font>
    <font>
      <b/>
      <sz val="12"/>
      <color theme="8" tint="-0.24997000396251678"/>
      <name val="Cambria"/>
      <family val="1"/>
    </font>
    <font>
      <b/>
      <sz val="11"/>
      <color theme="3"/>
      <name val="Cambria"/>
      <family val="1"/>
    </font>
    <font>
      <b/>
      <sz val="10"/>
      <color rgb="FFFF0000"/>
      <name val="Cambria"/>
      <family val="1"/>
    </font>
    <font>
      <b/>
      <sz val="12"/>
      <color theme="0"/>
      <name val="Cambria"/>
      <family val="1"/>
    </font>
    <font>
      <sz val="12"/>
      <color rgb="FF0070C0"/>
      <name val="Cambria"/>
      <family val="1"/>
    </font>
    <font>
      <sz val="9"/>
      <color rgb="FF1F497D"/>
      <name val="Cambria"/>
      <family val="1"/>
    </font>
    <font>
      <sz val="8"/>
      <color rgb="FF1F497D"/>
      <name val="Cambria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D9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A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2D"/>
        <bgColor indexed="64"/>
      </patternFill>
    </fill>
    <fill>
      <patternFill patternType="solid">
        <fgColor rgb="FFFFFF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theme="0"/>
      </bottom>
    </border>
    <border>
      <left>
        <color indexed="63"/>
      </left>
      <right>
        <color indexed="63"/>
      </right>
      <top style="dotted">
        <color theme="0"/>
      </top>
      <bottom style="dotted">
        <color theme="0"/>
      </bottom>
    </border>
    <border>
      <left style="double"/>
      <right>
        <color indexed="63"/>
      </right>
      <top>
        <color indexed="63"/>
      </top>
      <bottom style="thin">
        <color theme="0"/>
      </bottom>
    </border>
    <border>
      <left style="double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6" borderId="1" applyNumberFormat="0" applyAlignment="0" applyProtection="0"/>
    <xf numFmtId="0" fontId="109" fillId="0" borderId="2" applyNumberFormat="0" applyFill="0" applyAlignment="0" applyProtection="0"/>
    <xf numFmtId="0" fontId="110" fillId="27" borderId="1" applyNumberFormat="0" applyAlignment="0" applyProtection="0"/>
    <xf numFmtId="44" fontId="4" fillId="0" borderId="0" applyFont="0" applyFill="0" applyBorder="0" applyAlignment="0" applyProtection="0"/>
    <xf numFmtId="0" fontId="111" fillId="28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115" fillId="31" borderId="0" applyNumberFormat="0" applyBorder="0" applyAlignment="0" applyProtection="0"/>
    <xf numFmtId="0" fontId="116" fillId="26" borderId="4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8" applyNumberFormat="0" applyFill="0" applyAlignment="0" applyProtection="0"/>
    <xf numFmtId="0" fontId="123" fillId="32" borderId="9" applyNumberFormat="0" applyAlignment="0" applyProtection="0"/>
  </cellStyleXfs>
  <cellXfs count="343">
    <xf numFmtId="0" fontId="0" fillId="0" borderId="0" xfId="0" applyAlignment="1">
      <alignment/>
    </xf>
    <xf numFmtId="0" fontId="124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0" fillId="0" borderId="0" xfId="0" applyAlignment="1">
      <alignment horizontal="left"/>
    </xf>
    <xf numFmtId="44" fontId="124" fillId="0" borderId="0" xfId="0" applyNumberFormat="1" applyFont="1" applyAlignment="1">
      <alignment/>
    </xf>
    <xf numFmtId="0" fontId="125" fillId="0" borderId="10" xfId="0" applyFont="1" applyBorder="1" applyAlignment="1" applyProtection="1">
      <alignment horizontal="center" vertical="center"/>
      <protection locked="0"/>
    </xf>
    <xf numFmtId="0" fontId="126" fillId="0" borderId="0" xfId="0" applyFont="1" applyAlignment="1">
      <alignment/>
    </xf>
    <xf numFmtId="2" fontId="0" fillId="0" borderId="0" xfId="0" applyNumberFormat="1" applyAlignment="1">
      <alignment/>
    </xf>
    <xf numFmtId="2" fontId="127" fillId="0" borderId="0" xfId="0" applyNumberFormat="1" applyFont="1" applyAlignment="1">
      <alignment vertical="center"/>
    </xf>
    <xf numFmtId="192" fontId="0" fillId="0" borderId="0" xfId="0" applyNumberFormat="1" applyAlignment="1">
      <alignment/>
    </xf>
    <xf numFmtId="0" fontId="0" fillId="33" borderId="0" xfId="0" applyFill="1" applyAlignment="1">
      <alignment/>
    </xf>
    <xf numFmtId="0" fontId="128" fillId="34" borderId="0" xfId="0" applyFont="1" applyFill="1" applyAlignment="1">
      <alignment/>
    </xf>
    <xf numFmtId="0" fontId="124" fillId="34" borderId="0" xfId="0" applyFont="1" applyFill="1" applyAlignment="1">
      <alignment/>
    </xf>
    <xf numFmtId="0" fontId="129" fillId="0" borderId="0" xfId="0" applyFont="1" applyAlignment="1">
      <alignment horizontal="left"/>
    </xf>
    <xf numFmtId="14" fontId="130" fillId="6" borderId="10" xfId="0" applyNumberFormat="1" applyFont="1" applyFill="1" applyBorder="1" applyAlignment="1" applyProtection="1">
      <alignment horizontal="center" vertical="center"/>
      <protection locked="0"/>
    </xf>
    <xf numFmtId="14" fontId="131" fillId="6" borderId="11" xfId="0" applyNumberFormat="1" applyFont="1" applyFill="1" applyBorder="1" applyAlignment="1" applyProtection="1">
      <alignment horizontal="center" vertical="center"/>
      <protection locked="0"/>
    </xf>
    <xf numFmtId="14" fontId="131" fillId="6" borderId="11" xfId="0" applyNumberFormat="1" applyFont="1" applyFill="1" applyBorder="1" applyAlignment="1" applyProtection="1">
      <alignment horizontal="center" vertical="center"/>
      <protection hidden="1" locked="0"/>
    </xf>
    <xf numFmtId="0" fontId="132" fillId="35" borderId="12" xfId="0" applyFont="1" applyFill="1" applyBorder="1" applyAlignment="1" applyProtection="1">
      <alignment horizontal="center" vertical="center"/>
      <protection locked="0"/>
    </xf>
    <xf numFmtId="0" fontId="129" fillId="0" borderId="0" xfId="0" applyFont="1" applyAlignment="1">
      <alignment/>
    </xf>
    <xf numFmtId="0" fontId="131" fillId="33" borderId="13" xfId="0" applyFont="1" applyFill="1" applyBorder="1" applyAlignment="1">
      <alignment vertical="center"/>
    </xf>
    <xf numFmtId="0" fontId="131" fillId="33" borderId="14" xfId="0" applyFont="1" applyFill="1" applyBorder="1" applyAlignment="1">
      <alignment vertical="center"/>
    </xf>
    <xf numFmtId="44" fontId="131" fillId="34" borderId="15" xfId="49" applyFont="1" applyFill="1" applyBorder="1" applyAlignment="1" applyProtection="1">
      <alignment horizontal="center" vertical="center"/>
      <protection hidden="1"/>
    </xf>
    <xf numFmtId="44" fontId="131" fillId="6" borderId="15" xfId="49" applyFont="1" applyFill="1" applyBorder="1" applyAlignment="1" applyProtection="1">
      <alignment horizontal="center" vertical="center"/>
      <protection hidden="1" locked="0"/>
    </xf>
    <xf numFmtId="44" fontId="130" fillId="0" borderId="16" xfId="0" applyNumberFormat="1" applyFont="1" applyBorder="1" applyAlignment="1">
      <alignment/>
    </xf>
    <xf numFmtId="44" fontId="131" fillId="36" borderId="17" xfId="0" applyNumberFormat="1" applyFont="1" applyFill="1" applyBorder="1" applyAlignment="1" applyProtection="1">
      <alignment/>
      <protection hidden="1"/>
    </xf>
    <xf numFmtId="44" fontId="131" fillId="36" borderId="18" xfId="0" applyNumberFormat="1" applyFont="1" applyFill="1" applyBorder="1" applyAlignment="1" applyProtection="1">
      <alignment/>
      <protection hidden="1"/>
    </xf>
    <xf numFmtId="0" fontId="130" fillId="36" borderId="19" xfId="0" applyFont="1" applyFill="1" applyBorder="1" applyAlignment="1">
      <alignment horizontal="center" vertical="center"/>
    </xf>
    <xf numFmtId="0" fontId="133" fillId="35" borderId="0" xfId="0" applyFont="1" applyFill="1" applyAlignment="1" applyProtection="1">
      <alignment horizontal="center" vertical="center"/>
      <protection locked="0"/>
    </xf>
    <xf numFmtId="0" fontId="129" fillId="0" borderId="19" xfId="0" applyFont="1" applyBorder="1" applyAlignment="1">
      <alignment/>
    </xf>
    <xf numFmtId="0" fontId="131" fillId="33" borderId="20" xfId="0" applyFont="1" applyFill="1" applyBorder="1" applyAlignment="1">
      <alignment vertical="center"/>
    </xf>
    <xf numFmtId="0" fontId="131" fillId="33" borderId="21" xfId="0" applyFont="1" applyFill="1" applyBorder="1" applyAlignment="1">
      <alignment vertical="center"/>
    </xf>
    <xf numFmtId="44" fontId="131" fillId="34" borderId="22" xfId="49" applyFont="1" applyFill="1" applyBorder="1" applyAlignment="1" applyProtection="1">
      <alignment horizontal="center" vertical="center"/>
      <protection hidden="1"/>
    </xf>
    <xf numFmtId="44" fontId="131" fillId="6" borderId="22" xfId="49" applyFont="1" applyFill="1" applyBorder="1" applyAlignment="1" applyProtection="1">
      <alignment horizontal="center" vertical="center"/>
      <protection hidden="1" locked="0"/>
    </xf>
    <xf numFmtId="0" fontId="130" fillId="13" borderId="23" xfId="0" applyFont="1" applyFill="1" applyBorder="1" applyAlignment="1" applyProtection="1">
      <alignment horizontal="right"/>
      <protection hidden="1"/>
    </xf>
    <xf numFmtId="44" fontId="131" fillId="13" borderId="23" xfId="49" applyFont="1" applyFill="1" applyBorder="1" applyAlignment="1" applyProtection="1">
      <alignment horizontal="center" vertical="center"/>
      <protection hidden="1"/>
    </xf>
    <xf numFmtId="0" fontId="131" fillId="33" borderId="24" xfId="0" applyFont="1" applyFill="1" applyBorder="1" applyAlignment="1">
      <alignment vertical="center"/>
    </xf>
    <xf numFmtId="0" fontId="131" fillId="33" borderId="25" xfId="0" applyFont="1" applyFill="1" applyBorder="1" applyAlignment="1">
      <alignment vertical="center"/>
    </xf>
    <xf numFmtId="189" fontId="129" fillId="0" borderId="0" xfId="0" applyNumberFormat="1" applyFont="1" applyAlignment="1">
      <alignment/>
    </xf>
    <xf numFmtId="0" fontId="134" fillId="37" borderId="14" xfId="0" applyFont="1" applyFill="1" applyBorder="1" applyAlignment="1" applyProtection="1">
      <alignment horizontal="center" vertical="center"/>
      <protection locked="0"/>
    </xf>
    <xf numFmtId="0" fontId="131" fillId="33" borderId="26" xfId="0" applyFont="1" applyFill="1" applyBorder="1" applyAlignment="1" applyProtection="1" quotePrefix="1">
      <alignment horizontal="center"/>
      <protection hidden="1"/>
    </xf>
    <xf numFmtId="44" fontId="135" fillId="0" borderId="0" xfId="0" applyNumberFormat="1" applyFont="1" applyAlignment="1">
      <alignment/>
    </xf>
    <xf numFmtId="14" fontId="131" fillId="6" borderId="10" xfId="0" applyNumberFormat="1" applyFont="1" applyFill="1" applyBorder="1" applyAlignment="1" applyProtection="1">
      <alignment horizontal="center" vertical="center"/>
      <protection hidden="1" locked="0"/>
    </xf>
    <xf numFmtId="0" fontId="129" fillId="33" borderId="0" xfId="0" applyFont="1" applyFill="1" applyAlignment="1">
      <alignment/>
    </xf>
    <xf numFmtId="44" fontId="129" fillId="0" borderId="0" xfId="49" applyFont="1" applyAlignment="1">
      <alignment/>
    </xf>
    <xf numFmtId="188" fontId="136" fillId="38" borderId="27" xfId="0" applyNumberFormat="1" applyFont="1" applyFill="1" applyBorder="1" applyAlignment="1">
      <alignment vertical="center"/>
    </xf>
    <xf numFmtId="188" fontId="136" fillId="0" borderId="0" xfId="0" applyNumberFormat="1" applyFont="1" applyAlignment="1">
      <alignment vertical="center"/>
    </xf>
    <xf numFmtId="0" fontId="135" fillId="33" borderId="28" xfId="0" applyFont="1" applyFill="1" applyBorder="1" applyAlignment="1">
      <alignment horizontal="center" vertical="center"/>
    </xf>
    <xf numFmtId="0" fontId="131" fillId="34" borderId="29" xfId="0" applyFont="1" applyFill="1" applyBorder="1" applyAlignment="1" applyProtection="1">
      <alignment/>
      <protection hidden="1"/>
    </xf>
    <xf numFmtId="2" fontId="131" fillId="34" borderId="30" xfId="0" applyNumberFormat="1" applyFont="1" applyFill="1" applyBorder="1" applyAlignment="1" applyProtection="1">
      <alignment/>
      <protection hidden="1"/>
    </xf>
    <xf numFmtId="183" fontId="131" fillId="33" borderId="25" xfId="0" applyNumberFormat="1" applyFont="1" applyFill="1" applyBorder="1" applyAlignment="1">
      <alignment horizontal="center"/>
    </xf>
    <xf numFmtId="44" fontId="136" fillId="6" borderId="31" xfId="43" applyFont="1" applyFill="1" applyBorder="1" applyAlignment="1" applyProtection="1">
      <alignment vertical="center"/>
      <protection locked="0"/>
    </xf>
    <xf numFmtId="44" fontId="131" fillId="0" borderId="32" xfId="49" applyFont="1" applyBorder="1" applyAlignment="1" applyProtection="1">
      <alignment/>
      <protection hidden="1"/>
    </xf>
    <xf numFmtId="0" fontId="135" fillId="0" borderId="0" xfId="0" applyFont="1" applyAlignment="1">
      <alignment/>
    </xf>
    <xf numFmtId="44" fontId="136" fillId="6" borderId="33" xfId="43" applyFont="1" applyFill="1" applyBorder="1" applyAlignment="1" applyProtection="1">
      <alignment vertical="center"/>
      <protection locked="0"/>
    </xf>
    <xf numFmtId="44" fontId="131" fillId="0" borderId="34" xfId="49" applyFont="1" applyBorder="1" applyAlignment="1" applyProtection="1">
      <alignment/>
      <protection hidden="1"/>
    </xf>
    <xf numFmtId="0" fontId="131" fillId="27" borderId="23" xfId="0" applyFont="1" applyFill="1" applyBorder="1" applyAlignment="1" applyProtection="1">
      <alignment horizontal="right"/>
      <protection hidden="1"/>
    </xf>
    <xf numFmtId="189" fontId="131" fillId="34" borderId="35" xfId="0" applyNumberFormat="1" applyFont="1" applyFill="1" applyBorder="1" applyAlignment="1" applyProtection="1">
      <alignment horizontal="center" vertical="center"/>
      <protection hidden="1"/>
    </xf>
    <xf numFmtId="0" fontId="137" fillId="0" borderId="0" xfId="0" applyFont="1" applyAlignment="1">
      <alignment/>
    </xf>
    <xf numFmtId="0" fontId="131" fillId="34" borderId="0" xfId="0" applyFont="1" applyFill="1" applyAlignment="1">
      <alignment/>
    </xf>
    <xf numFmtId="0" fontId="135" fillId="34" borderId="0" xfId="0" applyFont="1" applyFill="1" applyAlignment="1">
      <alignment/>
    </xf>
    <xf numFmtId="0" fontId="129" fillId="13" borderId="0" xfId="0" applyFont="1" applyFill="1" applyAlignment="1">
      <alignment/>
    </xf>
    <xf numFmtId="0" fontId="138" fillId="13" borderId="23" xfId="0" applyFont="1" applyFill="1" applyBorder="1" applyAlignment="1">
      <alignment horizontal="left" vertical="center"/>
    </xf>
    <xf numFmtId="0" fontId="129" fillId="0" borderId="23" xfId="0" applyFont="1" applyBorder="1" applyAlignment="1">
      <alignment/>
    </xf>
    <xf numFmtId="188" fontId="131" fillId="38" borderId="27" xfId="0" applyNumberFormat="1" applyFont="1" applyFill="1" applyBorder="1" applyAlignment="1">
      <alignment vertical="center"/>
    </xf>
    <xf numFmtId="188" fontId="131" fillId="0" borderId="0" xfId="0" applyNumberFormat="1" applyFont="1" applyAlignment="1">
      <alignment vertical="center"/>
    </xf>
    <xf numFmtId="0" fontId="131" fillId="33" borderId="28" xfId="0" applyFont="1" applyFill="1" applyBorder="1" applyAlignment="1">
      <alignment horizontal="center" vertical="center"/>
    </xf>
    <xf numFmtId="0" fontId="131" fillId="0" borderId="29" xfId="0" applyFont="1" applyBorder="1" applyAlignment="1" applyProtection="1">
      <alignment/>
      <protection hidden="1"/>
    </xf>
    <xf numFmtId="2" fontId="131" fillId="0" borderId="30" xfId="0" applyNumberFormat="1" applyFont="1" applyBorder="1" applyAlignment="1" applyProtection="1">
      <alignment/>
      <protection hidden="1"/>
    </xf>
    <xf numFmtId="44" fontId="131" fillId="34" borderId="36" xfId="49" applyFont="1" applyFill="1" applyBorder="1" applyAlignment="1" applyProtection="1">
      <alignment horizontal="center" vertical="center"/>
      <protection hidden="1"/>
    </xf>
    <xf numFmtId="0" fontId="131" fillId="0" borderId="0" xfId="0" applyFont="1" applyAlignment="1">
      <alignment/>
    </xf>
    <xf numFmtId="0" fontId="139" fillId="0" borderId="0" xfId="0" applyFont="1" applyAlignment="1" quotePrefix="1">
      <alignment/>
    </xf>
    <xf numFmtId="44" fontId="130" fillId="13" borderId="23" xfId="49" applyFont="1" applyFill="1" applyBorder="1" applyAlignment="1" applyProtection="1">
      <alignment/>
      <protection hidden="1"/>
    </xf>
    <xf numFmtId="44" fontId="131" fillId="27" borderId="23" xfId="49" applyFont="1" applyFill="1" applyBorder="1" applyAlignment="1" applyProtection="1">
      <alignment/>
      <protection hidden="1"/>
    </xf>
    <xf numFmtId="44" fontId="131" fillId="27" borderId="23" xfId="49" applyFont="1" applyFill="1" applyBorder="1" applyAlignment="1" applyProtection="1">
      <alignment/>
      <protection hidden="1"/>
    </xf>
    <xf numFmtId="44" fontId="138" fillId="27" borderId="12" xfId="49" applyFont="1" applyFill="1" applyBorder="1" applyAlignment="1" applyProtection="1">
      <alignment/>
      <protection hidden="1"/>
    </xf>
    <xf numFmtId="44" fontId="131" fillId="27" borderId="12" xfId="49" applyFont="1" applyFill="1" applyBorder="1" applyAlignment="1" applyProtection="1">
      <alignment/>
      <protection hidden="1"/>
    </xf>
    <xf numFmtId="0" fontId="136" fillId="39" borderId="26" xfId="0" applyFont="1" applyFill="1" applyBorder="1" applyAlignment="1" applyProtection="1">
      <alignment horizontal="center" vertical="center"/>
      <protection locked="0"/>
    </xf>
    <xf numFmtId="0" fontId="131" fillId="13" borderId="0" xfId="0" applyFont="1" applyFill="1" applyAlignment="1" applyProtection="1">
      <alignment horizontal="left"/>
      <protection hidden="1"/>
    </xf>
    <xf numFmtId="0" fontId="131" fillId="13" borderId="0" xfId="0" applyFont="1" applyFill="1" applyAlignment="1">
      <alignment horizontal="left" vertical="center"/>
    </xf>
    <xf numFmtId="17" fontId="130" fillId="33" borderId="37" xfId="0" applyNumberFormat="1" applyFont="1" applyFill="1" applyBorder="1" applyAlignment="1" applyProtection="1">
      <alignment horizontal="left"/>
      <protection hidden="1"/>
    </xf>
    <xf numFmtId="183" fontId="131" fillId="33" borderId="0" xfId="0" applyNumberFormat="1" applyFont="1" applyFill="1" applyAlignment="1">
      <alignment horizontal="center"/>
    </xf>
    <xf numFmtId="183" fontId="131" fillId="33" borderId="25" xfId="0" applyNumberFormat="1" applyFont="1" applyFill="1" applyBorder="1" applyAlignment="1">
      <alignment horizontal="left"/>
    </xf>
    <xf numFmtId="183" fontId="131" fillId="33" borderId="0" xfId="0" applyNumberFormat="1" applyFont="1" applyFill="1" applyAlignment="1">
      <alignment horizontal="left"/>
    </xf>
    <xf numFmtId="17" fontId="130" fillId="33" borderId="14" xfId="0" applyNumberFormat="1" applyFont="1" applyFill="1" applyBorder="1" applyAlignment="1" applyProtection="1">
      <alignment horizontal="left"/>
      <protection hidden="1"/>
    </xf>
    <xf numFmtId="17" fontId="130" fillId="33" borderId="38" xfId="0" applyNumberFormat="1" applyFont="1" applyFill="1" applyBorder="1" applyAlignment="1" applyProtection="1">
      <alignment horizontal="left"/>
      <protection hidden="1"/>
    </xf>
    <xf numFmtId="0" fontId="124" fillId="0" borderId="10" xfId="0" applyFont="1" applyBorder="1" applyAlignment="1">
      <alignment horizontal="center"/>
    </xf>
    <xf numFmtId="0" fontId="131" fillId="39" borderId="26" xfId="0" applyFont="1" applyFill="1" applyBorder="1" applyAlignment="1" applyProtection="1">
      <alignment horizontal="center" vertical="center"/>
      <protection locked="0"/>
    </xf>
    <xf numFmtId="0" fontId="131" fillId="39" borderId="39" xfId="0" applyFont="1" applyFill="1" applyBorder="1" applyAlignment="1" applyProtection="1">
      <alignment horizontal="center" vertical="center"/>
      <protection locked="0"/>
    </xf>
    <xf numFmtId="14" fontId="131" fillId="12" borderId="10" xfId="0" applyNumberFormat="1" applyFont="1" applyFill="1" applyBorder="1" applyAlignment="1" applyProtection="1">
      <alignment horizontal="center" vertical="center"/>
      <protection hidden="1" locked="0"/>
    </xf>
    <xf numFmtId="0" fontId="140" fillId="0" borderId="0" xfId="0" applyFont="1" applyAlignment="1">
      <alignment vertical="center"/>
    </xf>
    <xf numFmtId="0" fontId="140" fillId="40" borderId="40" xfId="0" applyFont="1" applyFill="1" applyBorder="1" applyAlignment="1">
      <alignment vertical="center"/>
    </xf>
    <xf numFmtId="0" fontId="141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2" fillId="0" borderId="0" xfId="0" applyFont="1" applyAlignment="1" quotePrefix="1">
      <alignment/>
    </xf>
    <xf numFmtId="0" fontId="143" fillId="6" borderId="10" xfId="0" applyFont="1" applyFill="1" applyBorder="1" applyAlignment="1" applyProtection="1">
      <alignment horizontal="center" vertical="center" wrapText="1"/>
      <protection locked="0"/>
    </xf>
    <xf numFmtId="0" fontId="107" fillId="0" borderId="10" xfId="0" applyFont="1" applyBorder="1" applyAlignment="1" applyProtection="1">
      <alignment horizontal="center" vertical="center"/>
      <protection hidden="1"/>
    </xf>
    <xf numFmtId="0" fontId="134" fillId="6" borderId="42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144" fillId="0" borderId="0" xfId="0" applyFont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124" fillId="0" borderId="0" xfId="0" applyFont="1" applyAlignment="1">
      <alignment horizontal="center"/>
    </xf>
    <xf numFmtId="0" fontId="145" fillId="0" borderId="0" xfId="0" applyFont="1" applyAlignment="1">
      <alignment horizontal="center"/>
    </xf>
    <xf numFmtId="0" fontId="146" fillId="0" borderId="0" xfId="0" applyFont="1" applyAlignment="1">
      <alignment horizontal="center" vertical="center"/>
    </xf>
    <xf numFmtId="0" fontId="147" fillId="0" borderId="0" xfId="0" applyFont="1" applyAlignment="1">
      <alignment horizontal="center"/>
    </xf>
    <xf numFmtId="0" fontId="147" fillId="0" borderId="0" xfId="0" applyFont="1" applyAlignment="1">
      <alignment horizontal="center" vertical="center"/>
    </xf>
    <xf numFmtId="0" fontId="128" fillId="0" borderId="0" xfId="0" applyFont="1" applyAlignment="1">
      <alignment horizontal="center"/>
    </xf>
    <xf numFmtId="0" fontId="141" fillId="0" borderId="0" xfId="0" applyFont="1" applyAlignment="1">
      <alignment horizontal="center" vertical="center"/>
    </xf>
    <xf numFmtId="0" fontId="131" fillId="33" borderId="23" xfId="0" applyFont="1" applyFill="1" applyBorder="1" applyAlignment="1">
      <alignment horizontal="right" vertical="center"/>
    </xf>
    <xf numFmtId="0" fontId="131" fillId="27" borderId="23" xfId="0" applyFont="1" applyFill="1" applyBorder="1" applyAlignment="1" applyProtection="1">
      <alignment horizontal="right"/>
      <protection hidden="1"/>
    </xf>
    <xf numFmtId="9" fontId="131" fillId="0" borderId="0" xfId="43" applyNumberFormat="1" applyFont="1" applyAlignment="1">
      <alignment horizontal="center" vertical="center" wrapText="1"/>
    </xf>
    <xf numFmtId="44" fontId="135" fillId="12" borderId="43" xfId="0" applyNumberFormat="1" applyFont="1" applyFill="1" applyBorder="1" applyAlignment="1" applyProtection="1">
      <alignment/>
      <protection locked="0"/>
    </xf>
    <xf numFmtId="0" fontId="136" fillId="36" borderId="44" xfId="0" applyFont="1" applyFill="1" applyBorder="1" applyAlignment="1">
      <alignment/>
    </xf>
    <xf numFmtId="0" fontId="131" fillId="36" borderId="45" xfId="0" applyFont="1" applyFill="1" applyBorder="1" applyAlignment="1">
      <alignment/>
    </xf>
    <xf numFmtId="181" fontId="131" fillId="36" borderId="17" xfId="0" applyNumberFormat="1" applyFont="1" applyFill="1" applyBorder="1" applyAlignment="1" applyProtection="1">
      <alignment/>
      <protection hidden="1"/>
    </xf>
    <xf numFmtId="0" fontId="148" fillId="41" borderId="46" xfId="0" applyFont="1" applyFill="1" applyBorder="1" applyAlignment="1">
      <alignment/>
    </xf>
    <xf numFmtId="44" fontId="136" fillId="41" borderId="12" xfId="0" applyNumberFormat="1" applyFont="1" applyFill="1" applyBorder="1" applyAlignment="1" applyProtection="1">
      <alignment/>
      <protection hidden="1"/>
    </xf>
    <xf numFmtId="0" fontId="131" fillId="36" borderId="47" xfId="0" applyFont="1" applyFill="1" applyBorder="1" applyAlignment="1">
      <alignment/>
    </xf>
    <xf numFmtId="44" fontId="132" fillId="42" borderId="48" xfId="49" applyFont="1" applyFill="1" applyBorder="1" applyAlignment="1" quotePrefix="1">
      <alignment/>
    </xf>
    <xf numFmtId="44" fontId="149" fillId="42" borderId="49" xfId="49" applyFont="1" applyFill="1" applyBorder="1" applyAlignment="1">
      <alignment/>
    </xf>
    <xf numFmtId="0" fontId="149" fillId="42" borderId="50" xfId="0" applyFont="1" applyFill="1" applyBorder="1" applyAlignment="1">
      <alignment/>
    </xf>
    <xf numFmtId="0" fontId="150" fillId="42" borderId="51" xfId="0" applyFont="1" applyFill="1" applyBorder="1" applyAlignment="1">
      <alignment/>
    </xf>
    <xf numFmtId="0" fontId="151" fillId="0" borderId="0" xfId="0" applyFont="1" applyAlignment="1">
      <alignment/>
    </xf>
    <xf numFmtId="0" fontId="131" fillId="0" borderId="0" xfId="0" applyFont="1" applyAlignment="1" applyProtection="1">
      <alignment horizontal="right"/>
      <protection hidden="1"/>
    </xf>
    <xf numFmtId="0" fontId="131" fillId="0" borderId="52" xfId="0" applyFont="1" applyBorder="1" applyAlignment="1" applyProtection="1">
      <alignment horizontal="right"/>
      <protection hidden="1"/>
    </xf>
    <xf numFmtId="44" fontId="131" fillId="0" borderId="52" xfId="49" applyFont="1" applyBorder="1" applyAlignment="1" applyProtection="1">
      <alignment/>
      <protection hidden="1"/>
    </xf>
    <xf numFmtId="44" fontId="131" fillId="0" borderId="0" xfId="49" applyFont="1" applyAlignment="1" applyProtection="1">
      <alignment/>
      <protection hidden="1"/>
    </xf>
    <xf numFmtId="44" fontId="131" fillId="0" borderId="52" xfId="49" applyFont="1" applyBorder="1" applyAlignment="1" applyProtection="1">
      <alignment/>
      <protection hidden="1"/>
    </xf>
    <xf numFmtId="0" fontId="131" fillId="0" borderId="53" xfId="0" applyFont="1" applyBorder="1" applyAlignment="1" applyProtection="1">
      <alignment horizontal="right"/>
      <protection hidden="1"/>
    </xf>
    <xf numFmtId="44" fontId="138" fillId="0" borderId="0" xfId="49" applyFont="1" applyAlignment="1" applyProtection="1">
      <alignment/>
      <protection hidden="1"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130" fillId="36" borderId="55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0" xfId="0" applyAlignment="1">
      <alignment/>
    </xf>
    <xf numFmtId="0" fontId="129" fillId="0" borderId="55" xfId="0" applyFont="1" applyBorder="1" applyAlignment="1">
      <alignment/>
    </xf>
    <xf numFmtId="0" fontId="129" fillId="0" borderId="0" xfId="0" applyFont="1" applyAlignment="1">
      <alignment/>
    </xf>
    <xf numFmtId="1" fontId="129" fillId="0" borderId="0" xfId="0" applyNumberFormat="1" applyFont="1" applyAlignment="1">
      <alignment/>
    </xf>
    <xf numFmtId="0" fontId="131" fillId="43" borderId="56" xfId="0" applyFont="1" applyFill="1" applyBorder="1" applyAlignment="1">
      <alignment/>
    </xf>
    <xf numFmtId="0" fontId="131" fillId="44" borderId="12" xfId="0" applyFont="1" applyFill="1" applyBorder="1" applyAlignment="1">
      <alignment horizontal="center" vertical="center"/>
    </xf>
    <xf numFmtId="14" fontId="152" fillId="45" borderId="23" xfId="0" applyNumberFormat="1" applyFont="1" applyFill="1" applyBorder="1" applyAlignment="1" applyProtection="1">
      <alignment horizontal="center" vertical="center" wrapText="1"/>
      <protection locked="0"/>
    </xf>
    <xf numFmtId="0" fontId="131" fillId="13" borderId="0" xfId="0" applyFont="1" applyFill="1" applyAlignment="1" applyProtection="1">
      <alignment horizontal="left" vertical="center"/>
      <protection hidden="1"/>
    </xf>
    <xf numFmtId="0" fontId="131" fillId="44" borderId="57" xfId="0" applyFont="1" applyFill="1" applyBorder="1" applyAlignment="1">
      <alignment horizontal="center" vertical="center"/>
    </xf>
    <xf numFmtId="188" fontId="136" fillId="38" borderId="0" xfId="0" applyNumberFormat="1" applyFont="1" applyFill="1" applyAlignment="1">
      <alignment vertical="center"/>
    </xf>
    <xf numFmtId="2" fontId="131" fillId="34" borderId="29" xfId="0" applyNumberFormat="1" applyFont="1" applyFill="1" applyBorder="1" applyAlignment="1" applyProtection="1">
      <alignment/>
      <protection hidden="1"/>
    </xf>
    <xf numFmtId="44" fontId="131" fillId="0" borderId="14" xfId="49" applyFont="1" applyBorder="1" applyAlignment="1" applyProtection="1">
      <alignment/>
      <protection hidden="1"/>
    </xf>
    <xf numFmtId="188" fontId="131" fillId="38" borderId="0" xfId="0" applyNumberFormat="1" applyFont="1" applyFill="1" applyAlignment="1">
      <alignment vertical="center"/>
    </xf>
    <xf numFmtId="2" fontId="131" fillId="0" borderId="29" xfId="0" applyNumberFormat="1" applyFont="1" applyBorder="1" applyAlignment="1" applyProtection="1">
      <alignment/>
      <protection hidden="1"/>
    </xf>
    <xf numFmtId="0" fontId="141" fillId="27" borderId="12" xfId="0" applyFont="1" applyFill="1" applyBorder="1" applyAlignment="1">
      <alignment/>
    </xf>
    <xf numFmtId="0" fontId="141" fillId="40" borderId="12" xfId="0" applyFont="1" applyFill="1" applyBorder="1" applyAlignment="1">
      <alignment horizontal="left"/>
    </xf>
    <xf numFmtId="1" fontId="131" fillId="27" borderId="58" xfId="0" applyNumberFormat="1" applyFont="1" applyFill="1" applyBorder="1" applyAlignment="1" applyProtection="1">
      <alignment horizontal="right"/>
      <protection hidden="1"/>
    </xf>
    <xf numFmtId="0" fontId="136" fillId="40" borderId="59" xfId="0" applyFont="1" applyFill="1" applyBorder="1" applyAlignment="1" applyProtection="1">
      <alignment horizontal="right"/>
      <protection hidden="1"/>
    </xf>
    <xf numFmtId="0" fontId="131" fillId="43" borderId="60" xfId="0" applyFont="1" applyFill="1" applyBorder="1" applyAlignment="1">
      <alignment/>
    </xf>
    <xf numFmtId="0" fontId="136" fillId="36" borderId="31" xfId="0" applyFont="1" applyFill="1" applyBorder="1" applyAlignment="1">
      <alignment/>
    </xf>
    <xf numFmtId="0" fontId="131" fillId="36" borderId="20" xfId="0" applyFont="1" applyFill="1" applyBorder="1" applyAlignment="1">
      <alignment/>
    </xf>
    <xf numFmtId="0" fontId="148" fillId="41" borderId="58" xfId="0" applyFont="1" applyFill="1" applyBorder="1" applyAlignment="1">
      <alignment/>
    </xf>
    <xf numFmtId="0" fontId="131" fillId="36" borderId="61" xfId="0" applyFont="1" applyFill="1" applyBorder="1" applyAlignment="1">
      <alignment/>
    </xf>
    <xf numFmtId="0" fontId="149" fillId="42" borderId="62" xfId="0" applyFont="1" applyFill="1" applyBorder="1" applyAlignment="1">
      <alignment/>
    </xf>
    <xf numFmtId="0" fontId="150" fillId="42" borderId="63" xfId="0" applyFont="1" applyFill="1" applyBorder="1" applyAlignment="1">
      <alignment/>
    </xf>
    <xf numFmtId="0" fontId="131" fillId="44" borderId="58" xfId="0" applyFont="1" applyFill="1" applyBorder="1" applyAlignment="1">
      <alignment horizontal="center" vertical="center"/>
    </xf>
    <xf numFmtId="0" fontId="131" fillId="33" borderId="23" xfId="0" applyFont="1" applyFill="1" applyBorder="1" applyAlignment="1">
      <alignment horizontal="right" vertical="center"/>
    </xf>
    <xf numFmtId="0" fontId="130" fillId="39" borderId="64" xfId="0" applyFont="1" applyFill="1" applyBorder="1" applyAlignment="1" applyProtection="1">
      <alignment horizontal="center" vertical="center"/>
      <protection locked="0"/>
    </xf>
    <xf numFmtId="0" fontId="153" fillId="33" borderId="30" xfId="0" applyFont="1" applyFill="1" applyBorder="1" applyAlignment="1" quotePrefix="1">
      <alignment horizontal="left" vertical="center"/>
    </xf>
    <xf numFmtId="17" fontId="130" fillId="33" borderId="25" xfId="0" applyNumberFormat="1" applyFont="1" applyFill="1" applyBorder="1" applyAlignment="1" applyProtection="1">
      <alignment horizontal="left"/>
      <protection hidden="1"/>
    </xf>
    <xf numFmtId="0" fontId="131" fillId="34" borderId="65" xfId="0" applyFont="1" applyFill="1" applyBorder="1" applyAlignment="1">
      <alignment/>
    </xf>
    <xf numFmtId="0" fontId="131" fillId="13" borderId="24" xfId="0" applyFont="1" applyFill="1" applyBorder="1" applyAlignment="1">
      <alignment vertical="center"/>
    </xf>
    <xf numFmtId="0" fontId="131" fillId="13" borderId="25" xfId="0" applyFont="1" applyFill="1" applyBorder="1" applyAlignment="1">
      <alignment vertical="center"/>
    </xf>
    <xf numFmtId="0" fontId="134" fillId="13" borderId="13" xfId="0" applyFont="1" applyFill="1" applyBorder="1" applyAlignment="1">
      <alignment vertical="center"/>
    </xf>
    <xf numFmtId="0" fontId="134" fillId="13" borderId="14" xfId="0" applyFont="1" applyFill="1" applyBorder="1" applyAlignment="1">
      <alignment vertical="center"/>
    </xf>
    <xf numFmtId="0" fontId="135" fillId="13" borderId="14" xfId="0" applyFont="1" applyFill="1" applyBorder="1" applyAlignment="1">
      <alignment/>
    </xf>
    <xf numFmtId="0" fontId="154" fillId="13" borderId="11" xfId="0" applyFont="1" applyFill="1" applyBorder="1" applyAlignment="1" applyProtection="1">
      <alignment horizontal="center" vertical="center"/>
      <protection hidden="1"/>
    </xf>
    <xf numFmtId="0" fontId="131" fillId="13" borderId="26" xfId="0" applyFont="1" applyFill="1" applyBorder="1" applyAlignment="1" applyProtection="1">
      <alignment horizontal="center" vertical="center"/>
      <protection hidden="1"/>
    </xf>
    <xf numFmtId="1" fontId="131" fillId="13" borderId="58" xfId="0" applyNumberFormat="1" applyFont="1" applyFill="1" applyBorder="1" applyAlignment="1" applyProtection="1">
      <alignment horizontal="right"/>
      <protection hidden="1"/>
    </xf>
    <xf numFmtId="0" fontId="141" fillId="13" borderId="12" xfId="0" applyFont="1" applyFill="1" applyBorder="1" applyAlignment="1">
      <alignment/>
    </xf>
    <xf numFmtId="1" fontId="136" fillId="13" borderId="39" xfId="0" applyNumberFormat="1" applyFont="1" applyFill="1" applyBorder="1" applyAlignment="1" applyProtection="1">
      <alignment horizontal="center" vertical="center"/>
      <protection hidden="1"/>
    </xf>
    <xf numFmtId="0" fontId="155" fillId="13" borderId="25" xfId="0" applyFont="1" applyFill="1" applyBorder="1" applyAlignment="1" applyProtection="1">
      <alignment vertical="center"/>
      <protection hidden="1"/>
    </xf>
    <xf numFmtId="0" fontId="154" fillId="13" borderId="11" xfId="0" applyFont="1" applyFill="1" applyBorder="1" applyAlignment="1" applyProtection="1">
      <alignment horizontal="center" vertical="center"/>
      <protection hidden="1"/>
    </xf>
    <xf numFmtId="0" fontId="134" fillId="13" borderId="13" xfId="0" applyFont="1" applyFill="1" applyBorder="1" applyAlignment="1" applyProtection="1">
      <alignment vertical="center"/>
      <protection hidden="1"/>
    </xf>
    <xf numFmtId="0" fontId="134" fillId="13" borderId="14" xfId="0" applyFont="1" applyFill="1" applyBorder="1" applyAlignment="1" applyProtection="1">
      <alignment vertical="center"/>
      <protection hidden="1"/>
    </xf>
    <xf numFmtId="0" fontId="134" fillId="13" borderId="14" xfId="0" applyFont="1" applyFill="1" applyBorder="1" applyAlignment="1" applyProtection="1">
      <alignment horizontal="center" vertical="center"/>
      <protection hidden="1"/>
    </xf>
    <xf numFmtId="0" fontId="156" fillId="13" borderId="26" xfId="0" applyFont="1" applyFill="1" applyBorder="1" applyAlignment="1" applyProtection="1">
      <alignment horizontal="center" vertical="center"/>
      <protection hidden="1"/>
    </xf>
    <xf numFmtId="0" fontId="136" fillId="13" borderId="66" xfId="0" applyFont="1" applyFill="1" applyBorder="1" applyAlignment="1">
      <alignment horizontal="left" vertical="center"/>
    </xf>
    <xf numFmtId="0" fontId="157" fillId="13" borderId="13" xfId="0" applyFont="1" applyFill="1" applyBorder="1" applyAlignment="1" applyProtection="1">
      <alignment vertical="center"/>
      <protection hidden="1"/>
    </xf>
    <xf numFmtId="0" fontId="157" fillId="13" borderId="14" xfId="0" applyFont="1" applyFill="1" applyBorder="1" applyAlignment="1" applyProtection="1">
      <alignment vertical="center"/>
      <protection hidden="1"/>
    </xf>
    <xf numFmtId="0" fontId="157" fillId="13" borderId="14" xfId="0" applyFont="1" applyFill="1" applyBorder="1" applyAlignment="1" applyProtection="1">
      <alignment horizontal="center" vertical="center"/>
      <protection hidden="1"/>
    </xf>
    <xf numFmtId="0" fontId="158" fillId="13" borderId="26" xfId="0" applyFont="1" applyFill="1" applyBorder="1" applyAlignment="1" applyProtection="1">
      <alignment horizontal="center" vertical="center"/>
      <protection hidden="1"/>
    </xf>
    <xf numFmtId="44" fontId="131" fillId="6" borderId="15" xfId="49" applyFont="1" applyFill="1" applyBorder="1" applyAlignment="1" applyProtection="1">
      <alignment horizontal="center" vertical="center"/>
      <protection locked="0"/>
    </xf>
    <xf numFmtId="44" fontId="131" fillId="6" borderId="36" xfId="49" applyFont="1" applyFill="1" applyBorder="1" applyAlignment="1" applyProtection="1">
      <alignment horizontal="center" vertical="center"/>
      <protection locked="0"/>
    </xf>
    <xf numFmtId="44" fontId="131" fillId="6" borderId="22" xfId="49" applyFont="1" applyFill="1" applyBorder="1" applyAlignment="1" applyProtection="1">
      <alignment horizontal="center" vertical="center"/>
      <protection locked="0"/>
    </xf>
    <xf numFmtId="1" fontId="136" fillId="40" borderId="59" xfId="0" applyNumberFormat="1" applyFont="1" applyFill="1" applyBorder="1" applyAlignment="1" applyProtection="1">
      <alignment horizontal="right"/>
      <protection hidden="1"/>
    </xf>
    <xf numFmtId="0" fontId="130" fillId="13" borderId="23" xfId="0" applyFont="1" applyFill="1" applyBorder="1" applyAlignment="1" applyProtection="1">
      <alignment horizontal="right"/>
      <protection hidden="1"/>
    </xf>
    <xf numFmtId="0" fontId="131" fillId="27" borderId="23" xfId="0" applyFont="1" applyFill="1" applyBorder="1" applyAlignment="1" applyProtection="1">
      <alignment horizontal="right"/>
      <protection hidden="1"/>
    </xf>
    <xf numFmtId="0" fontId="131" fillId="44" borderId="67" xfId="0" applyFont="1" applyFill="1" applyBorder="1" applyAlignment="1">
      <alignment horizontal="center" vertical="center"/>
    </xf>
    <xf numFmtId="14" fontId="152" fillId="45" borderId="67" xfId="0" applyNumberFormat="1" applyFont="1" applyFill="1" applyBorder="1" applyAlignment="1" applyProtection="1">
      <alignment horizontal="center" vertical="center" wrapText="1"/>
      <protection locked="0"/>
    </xf>
    <xf numFmtId="14" fontId="152" fillId="45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31" fillId="33" borderId="23" xfId="0" applyFont="1" applyFill="1" applyBorder="1" applyAlignment="1">
      <alignment horizontal="right" vertical="center"/>
    </xf>
    <xf numFmtId="0" fontId="131" fillId="27" borderId="23" xfId="0" applyFont="1" applyFill="1" applyBorder="1" applyAlignment="1" applyProtection="1">
      <alignment horizontal="right"/>
      <protection hidden="1"/>
    </xf>
    <xf numFmtId="0" fontId="130" fillId="13" borderId="23" xfId="0" applyFont="1" applyFill="1" applyBorder="1" applyAlignment="1" applyProtection="1">
      <alignment horizontal="right"/>
      <protection hidden="1"/>
    </xf>
    <xf numFmtId="0" fontId="131" fillId="13" borderId="0" xfId="0" applyFont="1" applyFill="1" applyAlignment="1" applyProtection="1">
      <alignment horizontal="left"/>
      <protection hidden="1"/>
    </xf>
    <xf numFmtId="0" fontId="136" fillId="13" borderId="66" xfId="0" applyFont="1" applyFill="1" applyBorder="1" applyAlignment="1">
      <alignment horizontal="left" vertical="center"/>
    </xf>
    <xf numFmtId="0" fontId="131" fillId="13" borderId="0" xfId="0" applyFont="1" applyFill="1" applyAlignment="1" applyProtection="1">
      <alignment horizontal="left" vertical="center"/>
      <protection hidden="1"/>
    </xf>
    <xf numFmtId="0" fontId="131" fillId="13" borderId="0" xfId="0" applyFont="1" applyFill="1" applyAlignment="1">
      <alignment horizontal="left" vertical="center"/>
    </xf>
    <xf numFmtId="0" fontId="159" fillId="33" borderId="28" xfId="0" applyFont="1" applyFill="1" applyBorder="1" applyAlignment="1" applyProtection="1">
      <alignment horizontal="center" vertical="center"/>
      <protection hidden="1"/>
    </xf>
    <xf numFmtId="0" fontId="160" fillId="33" borderId="65" xfId="0" applyFont="1" applyFill="1" applyBorder="1" applyAlignment="1">
      <alignment vertical="center"/>
    </xf>
    <xf numFmtId="0" fontId="160" fillId="33" borderId="29" xfId="0" applyFont="1" applyFill="1" applyBorder="1" applyAlignment="1">
      <alignment vertical="center"/>
    </xf>
    <xf numFmtId="0" fontId="159" fillId="33" borderId="30" xfId="0" applyFont="1" applyFill="1" applyBorder="1" applyAlignment="1">
      <alignment horizontal="center" vertical="center"/>
    </xf>
    <xf numFmtId="0" fontId="161" fillId="33" borderId="65" xfId="0" applyFont="1" applyFill="1" applyBorder="1" applyAlignment="1">
      <alignment vertical="center"/>
    </xf>
    <xf numFmtId="0" fontId="161" fillId="33" borderId="29" xfId="0" applyFont="1" applyFill="1" applyBorder="1" applyAlignment="1">
      <alignment vertical="center"/>
    </xf>
    <xf numFmtId="0" fontId="136" fillId="33" borderId="30" xfId="0" applyFont="1" applyFill="1" applyBorder="1" applyAlignment="1">
      <alignment horizontal="center" vertical="center"/>
    </xf>
    <xf numFmtId="0" fontId="136" fillId="33" borderId="28" xfId="0" applyFont="1" applyFill="1" applyBorder="1" applyAlignment="1" applyProtection="1">
      <alignment horizontal="center" vertical="center"/>
      <protection hidden="1"/>
    </xf>
    <xf numFmtId="44" fontId="131" fillId="34" borderId="15" xfId="49" applyNumberFormat="1" applyFont="1" applyFill="1" applyBorder="1" applyAlignment="1" applyProtection="1">
      <alignment horizontal="center" vertical="center"/>
      <protection hidden="1"/>
    </xf>
    <xf numFmtId="0" fontId="162" fillId="0" borderId="1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9" fontId="131" fillId="43" borderId="68" xfId="43" applyNumberFormat="1" applyFont="1" applyFill="1" applyBorder="1" applyAlignment="1">
      <alignment horizontal="center" vertical="center" wrapText="1"/>
    </xf>
    <xf numFmtId="9" fontId="131" fillId="43" borderId="69" xfId="43" applyNumberFormat="1" applyFont="1" applyFill="1" applyBorder="1" applyAlignment="1">
      <alignment horizontal="center" vertical="center" wrapText="1"/>
    </xf>
    <xf numFmtId="0" fontId="130" fillId="6" borderId="0" xfId="0" applyFont="1" applyFill="1" applyAlignment="1">
      <alignment horizontal="left" vertical="top"/>
    </xf>
    <xf numFmtId="0" fontId="130" fillId="37" borderId="0" xfId="0" applyFont="1" applyFill="1" applyAlignment="1">
      <alignment horizontal="left" vertical="top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70" xfId="0" applyFill="1" applyBorder="1" applyAlignment="1" applyProtection="1">
      <alignment horizontal="center"/>
      <protection locked="0"/>
    </xf>
    <xf numFmtId="0" fontId="139" fillId="46" borderId="58" xfId="0" applyFont="1" applyFill="1" applyBorder="1" applyAlignment="1">
      <alignment horizontal="center" vertical="center"/>
    </xf>
    <xf numFmtId="0" fontId="139" fillId="46" borderId="23" xfId="0" applyFont="1" applyFill="1" applyBorder="1" applyAlignment="1">
      <alignment horizontal="center" vertical="center"/>
    </xf>
    <xf numFmtId="0" fontId="139" fillId="46" borderId="12" xfId="0" applyFont="1" applyFill="1" applyBorder="1" applyAlignment="1">
      <alignment horizontal="center" vertical="center"/>
    </xf>
    <xf numFmtId="0" fontId="125" fillId="0" borderId="19" xfId="0" applyFont="1" applyBorder="1" applyAlignment="1">
      <alignment horizontal="center"/>
    </xf>
    <xf numFmtId="0" fontId="125" fillId="0" borderId="0" xfId="0" applyFont="1" applyAlignment="1">
      <alignment horizontal="center"/>
    </xf>
    <xf numFmtId="0" fontId="161" fillId="13" borderId="71" xfId="0" applyFont="1" applyFill="1" applyBorder="1" applyAlignment="1">
      <alignment horizontal="center" vertical="center"/>
    </xf>
    <xf numFmtId="0" fontId="161" fillId="13" borderId="66" xfId="0" applyFont="1" applyFill="1" applyBorder="1" applyAlignment="1">
      <alignment horizontal="center" vertical="center"/>
    </xf>
    <xf numFmtId="0" fontId="161" fillId="13" borderId="72" xfId="0" applyFont="1" applyFill="1" applyBorder="1" applyAlignment="1">
      <alignment horizontal="center" vertical="center"/>
    </xf>
    <xf numFmtId="0" fontId="163" fillId="0" borderId="19" xfId="0" applyFont="1" applyBorder="1" applyAlignment="1">
      <alignment horizontal="left"/>
    </xf>
    <xf numFmtId="0" fontId="163" fillId="0" borderId="0" xfId="0" applyFont="1" applyAlignment="1">
      <alignment horizontal="left"/>
    </xf>
    <xf numFmtId="14" fontId="152" fillId="45" borderId="58" xfId="0" applyNumberFormat="1" applyFont="1" applyFill="1" applyBorder="1" applyAlignment="1" applyProtection="1">
      <alignment horizontal="center" vertical="center" wrapText="1"/>
      <protection locked="0"/>
    </xf>
    <xf numFmtId="14" fontId="152" fillId="45" borderId="23" xfId="0" applyNumberFormat="1" applyFont="1" applyFill="1" applyBorder="1" applyAlignment="1" applyProtection="1">
      <alignment horizontal="center" vertical="center" wrapText="1"/>
      <protection locked="0"/>
    </xf>
    <xf numFmtId="14" fontId="152" fillId="45" borderId="12" xfId="0" applyNumberFormat="1" applyFont="1" applyFill="1" applyBorder="1" applyAlignment="1" applyProtection="1">
      <alignment horizontal="center" vertical="center" wrapText="1"/>
      <protection locked="0"/>
    </xf>
    <xf numFmtId="0" fontId="118" fillId="47" borderId="0" xfId="0" applyFont="1" applyFill="1" applyAlignment="1">
      <alignment horizontal="center" vertical="center"/>
    </xf>
    <xf numFmtId="0" fontId="130" fillId="0" borderId="55" xfId="0" applyFont="1" applyBorder="1" applyAlignment="1">
      <alignment horizontal="center"/>
    </xf>
    <xf numFmtId="0" fontId="130" fillId="0" borderId="0" xfId="0" applyFont="1" applyAlignment="1">
      <alignment horizontal="center"/>
    </xf>
    <xf numFmtId="44" fontId="131" fillId="43" borderId="10" xfId="43" applyFont="1" applyFill="1" applyBorder="1" applyAlignment="1">
      <alignment horizontal="center" vertical="center" wrapText="1"/>
    </xf>
    <xf numFmtId="0" fontId="138" fillId="13" borderId="58" xfId="0" applyFont="1" applyFill="1" applyBorder="1" applyAlignment="1">
      <alignment horizontal="center" vertical="center"/>
    </xf>
    <xf numFmtId="0" fontId="138" fillId="13" borderId="23" xfId="0" applyFont="1" applyFill="1" applyBorder="1" applyAlignment="1">
      <alignment horizontal="center" vertical="center"/>
    </xf>
    <xf numFmtId="0" fontId="138" fillId="13" borderId="12" xfId="0" applyFont="1" applyFill="1" applyBorder="1" applyAlignment="1">
      <alignment horizontal="center" vertical="center"/>
    </xf>
    <xf numFmtId="0" fontId="136" fillId="33" borderId="57" xfId="0" applyFont="1" applyFill="1" applyBorder="1" applyAlignment="1">
      <alignment horizontal="center" vertical="center"/>
    </xf>
    <xf numFmtId="0" fontId="136" fillId="33" borderId="73" xfId="0" applyFont="1" applyFill="1" applyBorder="1" applyAlignment="1">
      <alignment horizontal="center" vertical="center"/>
    </xf>
    <xf numFmtId="0" fontId="136" fillId="33" borderId="59" xfId="0" applyFont="1" applyFill="1" applyBorder="1" applyAlignment="1">
      <alignment horizontal="center" vertical="center"/>
    </xf>
    <xf numFmtId="0" fontId="136" fillId="33" borderId="38" xfId="0" applyFont="1" applyFill="1" applyBorder="1" applyAlignment="1">
      <alignment horizontal="center" vertical="center"/>
    </xf>
    <xf numFmtId="0" fontId="134" fillId="19" borderId="13" xfId="0" applyFont="1" applyFill="1" applyBorder="1" applyAlignment="1">
      <alignment horizontal="left" vertical="center"/>
    </xf>
    <xf numFmtId="0" fontId="134" fillId="19" borderId="14" xfId="0" applyFont="1" applyFill="1" applyBorder="1" applyAlignment="1">
      <alignment horizontal="left" vertical="center"/>
    </xf>
    <xf numFmtId="9" fontId="131" fillId="43" borderId="11" xfId="43" applyNumberFormat="1" applyFont="1" applyFill="1" applyBorder="1" applyAlignment="1">
      <alignment horizontal="center" vertical="center" wrapText="1"/>
    </xf>
    <xf numFmtId="9" fontId="131" fillId="43" borderId="74" xfId="43" applyNumberFormat="1" applyFont="1" applyFill="1" applyBorder="1" applyAlignment="1">
      <alignment horizontal="center" vertical="center" wrapText="1"/>
    </xf>
    <xf numFmtId="44" fontId="164" fillId="0" borderId="0" xfId="49" applyFont="1" applyAlignment="1" applyProtection="1">
      <alignment horizontal="center" vertical="center"/>
      <protection hidden="1"/>
    </xf>
    <xf numFmtId="44" fontId="136" fillId="0" borderId="0" xfId="49" applyFont="1" applyAlignment="1" applyProtection="1">
      <alignment horizontal="center" vertical="center"/>
      <protection hidden="1"/>
    </xf>
    <xf numFmtId="0" fontId="138" fillId="30" borderId="58" xfId="0" applyFont="1" applyFill="1" applyBorder="1" applyAlignment="1">
      <alignment horizontal="right"/>
    </xf>
    <xf numFmtId="0" fontId="138" fillId="30" borderId="23" xfId="0" applyFont="1" applyFill="1" applyBorder="1" applyAlignment="1">
      <alignment horizontal="right"/>
    </xf>
    <xf numFmtId="0" fontId="138" fillId="30" borderId="12" xfId="0" applyFont="1" applyFill="1" applyBorder="1" applyAlignment="1">
      <alignment horizontal="right"/>
    </xf>
    <xf numFmtId="0" fontId="131" fillId="33" borderId="58" xfId="0" applyFont="1" applyFill="1" applyBorder="1" applyAlignment="1">
      <alignment horizontal="right" vertical="center"/>
    </xf>
    <xf numFmtId="0" fontId="131" fillId="33" borderId="23" xfId="0" applyFont="1" applyFill="1" applyBorder="1" applyAlignment="1">
      <alignment horizontal="right" vertical="center"/>
    </xf>
    <xf numFmtId="0" fontId="165" fillId="13" borderId="65" xfId="0" applyFont="1" applyFill="1" applyBorder="1" applyAlignment="1" applyProtection="1">
      <alignment horizontal="left" vertical="center"/>
      <protection hidden="1"/>
    </xf>
    <xf numFmtId="0" fontId="165" fillId="13" borderId="29" xfId="0" applyFont="1" applyFill="1" applyBorder="1" applyAlignment="1" applyProtection="1">
      <alignment horizontal="left" vertical="center"/>
      <protection hidden="1"/>
    </xf>
    <xf numFmtId="0" fontId="165" fillId="13" borderId="30" xfId="0" applyFont="1" applyFill="1" applyBorder="1" applyAlignment="1" applyProtection="1">
      <alignment horizontal="left" vertical="center"/>
      <protection hidden="1"/>
    </xf>
    <xf numFmtId="0" fontId="166" fillId="0" borderId="58" xfId="0" applyFont="1" applyFill="1" applyBorder="1" applyAlignment="1">
      <alignment horizontal="center" vertical="center"/>
    </xf>
    <xf numFmtId="0" fontId="166" fillId="0" borderId="23" xfId="0" applyFont="1" applyFill="1" applyBorder="1" applyAlignment="1">
      <alignment horizontal="center" vertical="center"/>
    </xf>
    <xf numFmtId="0" fontId="136" fillId="13" borderId="71" xfId="0" applyFont="1" applyFill="1" applyBorder="1" applyAlignment="1">
      <alignment horizontal="left" vertical="center"/>
    </xf>
    <xf numFmtId="0" fontId="136" fillId="13" borderId="66" xfId="0" applyFont="1" applyFill="1" applyBorder="1" applyAlignment="1">
      <alignment horizontal="left" vertical="center"/>
    </xf>
    <xf numFmtId="0" fontId="131" fillId="36" borderId="74" xfId="0" applyFont="1" applyFill="1" applyBorder="1" applyAlignment="1">
      <alignment horizontal="center" vertical="center"/>
    </xf>
    <xf numFmtId="0" fontId="131" fillId="36" borderId="10" xfId="0" applyFont="1" applyFill="1" applyBorder="1" applyAlignment="1">
      <alignment horizontal="center" vertical="center"/>
    </xf>
    <xf numFmtId="0" fontId="0" fillId="6" borderId="0" xfId="0" applyFill="1" applyAlignment="1" applyProtection="1">
      <alignment horizontal="center"/>
      <protection locked="0"/>
    </xf>
    <xf numFmtId="0" fontId="131" fillId="13" borderId="0" xfId="0" applyFont="1" applyFill="1" applyAlignment="1" applyProtection="1">
      <alignment horizontal="left" vertical="center"/>
      <protection hidden="1"/>
    </xf>
    <xf numFmtId="0" fontId="148" fillId="48" borderId="58" xfId="0" applyFont="1" applyFill="1" applyBorder="1" applyAlignment="1">
      <alignment horizontal="center" vertical="center"/>
    </xf>
    <xf numFmtId="0" fontId="148" fillId="48" borderId="23" xfId="0" applyFont="1" applyFill="1" applyBorder="1" applyAlignment="1">
      <alignment horizontal="center" vertical="center"/>
    </xf>
    <xf numFmtId="0" fontId="148" fillId="48" borderId="12" xfId="0" applyFont="1" applyFill="1" applyBorder="1" applyAlignment="1">
      <alignment horizontal="center" vertical="center"/>
    </xf>
    <xf numFmtId="0" fontId="136" fillId="43" borderId="12" xfId="0" applyFont="1" applyFill="1" applyBorder="1" applyAlignment="1">
      <alignment horizontal="center" vertical="center"/>
    </xf>
    <xf numFmtId="0" fontId="136" fillId="43" borderId="10" xfId="0" applyFont="1" applyFill="1" applyBorder="1" applyAlignment="1">
      <alignment horizontal="center" vertical="center"/>
    </xf>
    <xf numFmtId="0" fontId="167" fillId="49" borderId="23" xfId="0" applyFont="1" applyFill="1" applyBorder="1" applyAlignment="1">
      <alignment horizontal="center" vertical="center"/>
    </xf>
    <xf numFmtId="0" fontId="167" fillId="49" borderId="12" xfId="0" applyFont="1" applyFill="1" applyBorder="1" applyAlignment="1">
      <alignment horizontal="center" vertical="center"/>
    </xf>
    <xf numFmtId="0" fontId="168" fillId="0" borderId="0" xfId="0" applyFont="1" applyAlignment="1">
      <alignment horizontal="center" vertical="center"/>
    </xf>
    <xf numFmtId="0" fontId="131" fillId="13" borderId="0" xfId="0" applyFont="1" applyFill="1" applyAlignment="1">
      <alignment horizontal="left" vertical="center"/>
    </xf>
    <xf numFmtId="0" fontId="148" fillId="33" borderId="58" xfId="0" applyFont="1" applyFill="1" applyBorder="1" applyAlignment="1">
      <alignment horizontal="center" vertical="center"/>
    </xf>
    <xf numFmtId="0" fontId="148" fillId="33" borderId="23" xfId="0" applyFont="1" applyFill="1" applyBorder="1" applyAlignment="1">
      <alignment horizontal="center" vertical="center"/>
    </xf>
    <xf numFmtId="0" fontId="148" fillId="33" borderId="12" xfId="0" applyFont="1" applyFill="1" applyBorder="1" applyAlignment="1">
      <alignment horizontal="center" vertical="center"/>
    </xf>
    <xf numFmtId="44" fontId="132" fillId="0" borderId="0" xfId="49" applyFont="1" applyAlignment="1">
      <alignment horizontal="center" vertical="center"/>
    </xf>
    <xf numFmtId="0" fontId="169" fillId="13" borderId="7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4" fontId="136" fillId="34" borderId="25" xfId="49" applyFont="1" applyFill="1" applyBorder="1" applyAlignment="1">
      <alignment horizontal="center" vertical="center"/>
    </xf>
    <xf numFmtId="44" fontId="136" fillId="34" borderId="21" xfId="49" applyFont="1" applyFill="1" applyBorder="1" applyAlignment="1">
      <alignment horizontal="center" vertical="center"/>
    </xf>
    <xf numFmtId="0" fontId="131" fillId="27" borderId="58" xfId="0" applyFont="1" applyFill="1" applyBorder="1" applyAlignment="1" applyProtection="1">
      <alignment horizontal="right"/>
      <protection hidden="1"/>
    </xf>
    <xf numFmtId="0" fontId="131" fillId="27" borderId="23" xfId="0" applyFont="1" applyFill="1" applyBorder="1" applyAlignment="1" applyProtection="1">
      <alignment horizontal="right"/>
      <protection hidden="1"/>
    </xf>
    <xf numFmtId="0" fontId="130" fillId="13" borderId="58" xfId="0" applyFont="1" applyFill="1" applyBorder="1" applyAlignment="1" applyProtection="1">
      <alignment horizontal="right"/>
      <protection hidden="1"/>
    </xf>
    <xf numFmtId="0" fontId="130" fillId="13" borderId="23" xfId="0" applyFont="1" applyFill="1" applyBorder="1" applyAlignment="1" applyProtection="1">
      <alignment horizontal="right"/>
      <protection hidden="1"/>
    </xf>
    <xf numFmtId="0" fontId="131" fillId="13" borderId="0" xfId="0" applyFont="1" applyFill="1" applyAlignment="1" applyProtection="1">
      <alignment horizontal="left"/>
      <protection hidden="1"/>
    </xf>
    <xf numFmtId="0" fontId="136" fillId="33" borderId="10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44" fontId="153" fillId="13" borderId="76" xfId="49" applyFont="1" applyFill="1" applyBorder="1" applyAlignment="1">
      <alignment horizontal="center" wrapText="1"/>
    </xf>
    <xf numFmtId="44" fontId="153" fillId="13" borderId="77" xfId="49" applyFont="1" applyFill="1" applyBorder="1" applyAlignment="1">
      <alignment horizontal="center" wrapText="1"/>
    </xf>
    <xf numFmtId="0" fontId="153" fillId="13" borderId="19" xfId="0" applyFont="1" applyFill="1" applyBorder="1" applyAlignment="1">
      <alignment horizontal="center" wrapText="1"/>
    </xf>
    <xf numFmtId="0" fontId="153" fillId="13" borderId="59" xfId="0" applyFont="1" applyFill="1" applyBorder="1" applyAlignment="1">
      <alignment horizontal="center" wrapText="1"/>
    </xf>
    <xf numFmtId="0" fontId="170" fillId="0" borderId="57" xfId="0" applyFont="1" applyBorder="1" applyAlignment="1">
      <alignment horizontal="center"/>
    </xf>
    <xf numFmtId="0" fontId="170" fillId="0" borderId="53" xfId="0" applyFont="1" applyBorder="1" applyAlignment="1">
      <alignment horizontal="center"/>
    </xf>
    <xf numFmtId="44" fontId="169" fillId="13" borderId="76" xfId="49" applyFont="1" applyFill="1" applyBorder="1" applyAlignment="1">
      <alignment horizontal="center" vertical="center"/>
    </xf>
    <xf numFmtId="0" fontId="153" fillId="33" borderId="65" xfId="0" applyFont="1" applyFill="1" applyBorder="1" applyAlignment="1" quotePrefix="1">
      <alignment horizontal="left" vertical="center"/>
    </xf>
    <xf numFmtId="0" fontId="153" fillId="33" borderId="29" xfId="0" applyFont="1" applyFill="1" applyBorder="1" applyAlignment="1" quotePrefix="1">
      <alignment horizontal="left" vertical="center"/>
    </xf>
    <xf numFmtId="0" fontId="136" fillId="33" borderId="11" xfId="0" applyFont="1" applyFill="1" applyBorder="1" applyAlignment="1">
      <alignment horizontal="center" vertical="center"/>
    </xf>
    <xf numFmtId="0" fontId="136" fillId="33" borderId="58" xfId="0" applyFont="1" applyFill="1" applyBorder="1" applyAlignment="1">
      <alignment horizontal="center" vertical="center"/>
    </xf>
    <xf numFmtId="0" fontId="136" fillId="33" borderId="23" xfId="0" applyFont="1" applyFill="1" applyBorder="1" applyAlignment="1">
      <alignment horizontal="center" vertical="center"/>
    </xf>
    <xf numFmtId="0" fontId="136" fillId="33" borderId="12" xfId="0" applyFont="1" applyFill="1" applyBorder="1" applyAlignment="1">
      <alignment horizontal="center" vertical="center"/>
    </xf>
    <xf numFmtId="0" fontId="130" fillId="0" borderId="19" xfId="0" applyFont="1" applyBorder="1" applyAlignment="1">
      <alignment horizontal="center"/>
    </xf>
    <xf numFmtId="0" fontId="153" fillId="13" borderId="75" xfId="0" applyFont="1" applyFill="1" applyBorder="1" applyAlignment="1">
      <alignment horizontal="center" wrapText="1"/>
    </xf>
    <xf numFmtId="0" fontId="153" fillId="13" borderId="78" xfId="0" applyFont="1" applyFill="1" applyBorder="1" applyAlignment="1">
      <alignment horizontal="center" wrapText="1"/>
    </xf>
    <xf numFmtId="0" fontId="167" fillId="49" borderId="58" xfId="0" applyFont="1" applyFill="1" applyBorder="1" applyAlignment="1">
      <alignment horizontal="center" vertical="center"/>
    </xf>
    <xf numFmtId="44" fontId="131" fillId="43" borderId="74" xfId="49" applyFont="1" applyFill="1" applyBorder="1" applyAlignment="1" applyProtection="1">
      <alignment horizontal="center" vertical="center"/>
      <protection hidden="1"/>
    </xf>
    <xf numFmtId="44" fontId="131" fillId="43" borderId="10" xfId="49" applyFont="1" applyFill="1" applyBorder="1" applyAlignment="1" applyProtection="1">
      <alignment horizontal="center" vertical="center"/>
      <protection hidden="1"/>
    </xf>
    <xf numFmtId="0" fontId="171" fillId="50" borderId="59" xfId="0" applyFont="1" applyFill="1" applyBorder="1" applyAlignment="1">
      <alignment horizontal="left" vertical="center"/>
    </xf>
    <xf numFmtId="0" fontId="171" fillId="50" borderId="52" xfId="0" applyFont="1" applyFill="1" applyBorder="1" applyAlignment="1">
      <alignment horizontal="left" vertical="center"/>
    </xf>
    <xf numFmtId="0" fontId="171" fillId="50" borderId="38" xfId="0" applyFont="1" applyFill="1" applyBorder="1" applyAlignment="1">
      <alignment horizontal="left" vertical="center"/>
    </xf>
    <xf numFmtId="0" fontId="172" fillId="43" borderId="58" xfId="0" applyFont="1" applyFill="1" applyBorder="1" applyAlignment="1">
      <alignment horizontal="left" vertical="center"/>
    </xf>
    <xf numFmtId="0" fontId="172" fillId="43" borderId="23" xfId="0" applyFont="1" applyFill="1" applyBorder="1" applyAlignment="1">
      <alignment horizontal="left" vertical="center"/>
    </xf>
    <xf numFmtId="0" fontId="172" fillId="43" borderId="12" xfId="0" applyFont="1" applyFill="1" applyBorder="1" applyAlignment="1">
      <alignment horizontal="left" vertical="center"/>
    </xf>
    <xf numFmtId="0" fontId="136" fillId="43" borderId="57" xfId="0" applyFont="1" applyFill="1" applyBorder="1" applyAlignment="1">
      <alignment horizontal="center" vertical="center"/>
    </xf>
    <xf numFmtId="0" fontId="136" fillId="43" borderId="73" xfId="0" applyFont="1" applyFill="1" applyBorder="1" applyAlignment="1">
      <alignment horizontal="center" vertical="center"/>
    </xf>
    <xf numFmtId="0" fontId="136" fillId="43" borderId="59" xfId="0" applyFont="1" applyFill="1" applyBorder="1" applyAlignment="1">
      <alignment horizontal="center" vertical="center"/>
    </xf>
    <xf numFmtId="0" fontId="136" fillId="43" borderId="38" xfId="0" applyFont="1" applyFill="1" applyBorder="1" applyAlignment="1">
      <alignment horizontal="center" vertical="center"/>
    </xf>
    <xf numFmtId="44" fontId="136" fillId="43" borderId="74" xfId="49" applyFont="1" applyFill="1" applyBorder="1" applyAlignment="1" applyProtection="1">
      <alignment horizontal="center" vertical="center"/>
      <protection hidden="1"/>
    </xf>
    <xf numFmtId="44" fontId="136" fillId="43" borderId="10" xfId="49" applyFont="1" applyFill="1" applyBorder="1" applyAlignment="1" applyProtection="1">
      <alignment horizontal="center" vertical="center"/>
      <protection hidden="1"/>
    </xf>
    <xf numFmtId="0" fontId="130" fillId="0" borderId="0" xfId="0" applyFont="1" applyBorder="1" applyAlignment="1">
      <alignment horizontal="center"/>
    </xf>
    <xf numFmtId="0" fontId="125" fillId="0" borderId="19" xfId="0" applyFont="1" applyBorder="1" applyAlignment="1">
      <alignment horizontal="center" wrapText="1"/>
    </xf>
    <xf numFmtId="0" fontId="125" fillId="0" borderId="0" xfId="0" applyFont="1" applyAlignment="1">
      <alignment horizontal="center" wrapText="1"/>
    </xf>
    <xf numFmtId="0" fontId="140" fillId="40" borderId="79" xfId="0" applyFont="1" applyFill="1" applyBorder="1" applyAlignment="1">
      <alignment horizontal="center" vertical="center"/>
    </xf>
    <xf numFmtId="0" fontId="140" fillId="40" borderId="80" xfId="0" applyFont="1" applyFill="1" applyBorder="1" applyAlignment="1">
      <alignment horizontal="center" vertical="center"/>
    </xf>
    <xf numFmtId="0" fontId="173" fillId="0" borderId="79" xfId="0" applyFont="1" applyBorder="1" applyAlignment="1">
      <alignment horizontal="center" vertical="center" wrapText="1"/>
    </xf>
    <xf numFmtId="0" fontId="173" fillId="0" borderId="40" xfId="0" applyFont="1" applyBorder="1" applyAlignment="1">
      <alignment horizontal="center" vertical="center" wrapText="1"/>
    </xf>
    <xf numFmtId="0" fontId="174" fillId="0" borderId="79" xfId="0" applyFont="1" applyBorder="1" applyAlignment="1">
      <alignment horizontal="center" vertical="center" wrapText="1"/>
    </xf>
    <xf numFmtId="0" fontId="174" fillId="0" borderId="40" xfId="0" applyFont="1" applyBorder="1" applyAlignment="1">
      <alignment horizontal="center" vertical="center" wrapText="1"/>
    </xf>
    <xf numFmtId="0" fontId="175" fillId="43" borderId="58" xfId="0" applyFont="1" applyFill="1" applyBorder="1" applyAlignment="1">
      <alignment horizontal="center"/>
    </xf>
    <xf numFmtId="0" fontId="175" fillId="43" borderId="23" xfId="0" applyFont="1" applyFill="1" applyBorder="1" applyAlignment="1">
      <alignment horizontal="center"/>
    </xf>
    <xf numFmtId="0" fontId="175" fillId="43" borderId="12" xfId="0" applyFont="1" applyFill="1" applyBorder="1" applyAlignment="1">
      <alignment horizontal="center"/>
    </xf>
    <xf numFmtId="0" fontId="124" fillId="43" borderId="58" xfId="0" applyFont="1" applyFill="1" applyBorder="1" applyAlignment="1">
      <alignment horizontal="center"/>
    </xf>
    <xf numFmtId="0" fontId="124" fillId="43" borderId="23" xfId="0" applyFont="1" applyFill="1" applyBorder="1" applyAlignment="1">
      <alignment horizontal="center"/>
    </xf>
    <xf numFmtId="0" fontId="124" fillId="43" borderId="12" xfId="0" applyFont="1" applyFill="1" applyBorder="1" applyAlignment="1">
      <alignment horizontal="center"/>
    </xf>
    <xf numFmtId="0" fontId="141" fillId="43" borderId="58" xfId="0" applyFont="1" applyFill="1" applyBorder="1" applyAlignment="1">
      <alignment horizontal="center"/>
    </xf>
    <xf numFmtId="0" fontId="141" fillId="43" borderId="23" xfId="0" applyFont="1" applyFill="1" applyBorder="1" applyAlignment="1">
      <alignment horizontal="center"/>
    </xf>
    <xf numFmtId="0" fontId="141" fillId="43" borderId="12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92D050"/>
        </patternFill>
      </fill>
    </dxf>
    <dxf>
      <font>
        <color theme="0"/>
      </font>
    </dxf>
    <dxf>
      <font>
        <name val="Cambria"/>
        <color theme="0"/>
      </font>
      <fill>
        <patternFill>
          <bgColor theme="0"/>
        </patternFill>
      </fill>
    </dxf>
    <dxf>
      <font>
        <b/>
        <i val="0"/>
        <name val="Cambria"/>
        <color theme="0"/>
      </font>
      <fill>
        <patternFill>
          <bgColor rgb="FF92D050"/>
        </patternFill>
      </fill>
    </dxf>
    <dxf>
      <font>
        <color theme="0"/>
      </font>
    </dxf>
    <dxf>
      <font>
        <name val="Cambria"/>
        <color theme="0"/>
      </font>
      <fill>
        <patternFill>
          <bgColor theme="0"/>
        </patternFill>
      </fill>
    </dxf>
    <dxf>
      <font>
        <b/>
        <i val="0"/>
        <name val="Cambria"/>
        <color theme="0"/>
      </font>
      <fill>
        <patternFill>
          <bgColor rgb="FF92D05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b/>
        <i val="0"/>
        <name val="Cambria"/>
        <color theme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92D050"/>
        </patternFill>
      </fill>
    </dxf>
    <dxf>
      <font>
        <color theme="0"/>
      </font>
    </dxf>
    <dxf>
      <font>
        <name val="Cambria"/>
        <color theme="0"/>
      </font>
      <fill>
        <patternFill>
          <bgColor theme="0"/>
        </patternFill>
      </fill>
    </dxf>
    <dxf>
      <font>
        <b/>
        <i val="0"/>
        <name val="Cambria"/>
        <color theme="0"/>
      </font>
      <fill>
        <patternFill>
          <bgColor rgb="FF92D050"/>
        </patternFill>
      </fill>
    </dxf>
    <dxf>
      <font>
        <color theme="0"/>
      </font>
    </dxf>
    <dxf>
      <font>
        <name val="Cambria"/>
        <color theme="0"/>
      </font>
      <fill>
        <patternFill>
          <bgColor theme="0"/>
        </patternFill>
      </fill>
    </dxf>
    <dxf>
      <font>
        <b/>
        <i val="0"/>
        <name val="Cambria"/>
        <color theme="0"/>
      </font>
      <fill>
        <patternFill>
          <bgColor rgb="FF92D05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b/>
        <i val="0"/>
        <name val="Cambria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Poursuite cp sur + 3 ann&#233;e'!A1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76200</xdr:rowOff>
    </xdr:from>
    <xdr:to>
      <xdr:col>1</xdr:col>
      <xdr:colOff>1190625</xdr:colOff>
      <xdr:row>2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190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133350</xdr:rowOff>
    </xdr:from>
    <xdr:to>
      <xdr:col>1</xdr:col>
      <xdr:colOff>133350</xdr:colOff>
      <xdr:row>12</xdr:row>
      <xdr:rowOff>9525</xdr:rowOff>
    </xdr:to>
    <xdr:sp>
      <xdr:nvSpPr>
        <xdr:cNvPr id="2" name="Flèche vers le bas 6"/>
        <xdr:cNvSpPr>
          <a:spLocks/>
        </xdr:cNvSpPr>
      </xdr:nvSpPr>
      <xdr:spPr>
        <a:xfrm>
          <a:off x="0" y="1695450"/>
          <a:ext cx="342900" cy="495300"/>
        </a:xfrm>
        <a:prstGeom prst="downArrow">
          <a:avLst>
            <a:gd name="adj" fmla="val 18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 fPrintsWithSheet="0"/>
  </xdr:twoCellAnchor>
  <xdr:twoCellAnchor>
    <xdr:from>
      <xdr:col>13</xdr:col>
      <xdr:colOff>38100</xdr:colOff>
      <xdr:row>16</xdr:row>
      <xdr:rowOff>114300</xdr:rowOff>
    </xdr:from>
    <xdr:to>
      <xdr:col>13</xdr:col>
      <xdr:colOff>342900</xdr:colOff>
      <xdr:row>18</xdr:row>
      <xdr:rowOff>190500</xdr:rowOff>
    </xdr:to>
    <xdr:sp>
      <xdr:nvSpPr>
        <xdr:cNvPr id="3" name="Flèche vers le bas 29"/>
        <xdr:cNvSpPr>
          <a:spLocks/>
        </xdr:cNvSpPr>
      </xdr:nvSpPr>
      <xdr:spPr>
        <a:xfrm>
          <a:off x="11753850" y="2895600"/>
          <a:ext cx="304800" cy="323850"/>
        </a:xfrm>
        <a:prstGeom prst="downArrow">
          <a:avLst>
            <a:gd name="adj" fmla="val 48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 fPrintsWithSheet="0"/>
  </xdr:twoCellAnchor>
  <xdr:twoCellAnchor>
    <xdr:from>
      <xdr:col>13</xdr:col>
      <xdr:colOff>1352550</xdr:colOff>
      <xdr:row>19</xdr:row>
      <xdr:rowOff>19050</xdr:rowOff>
    </xdr:from>
    <xdr:to>
      <xdr:col>13</xdr:col>
      <xdr:colOff>1676400</xdr:colOff>
      <xdr:row>21</xdr:row>
      <xdr:rowOff>0</xdr:rowOff>
    </xdr:to>
    <xdr:sp>
      <xdr:nvSpPr>
        <xdr:cNvPr id="4" name="Flèche vers le bas 35"/>
        <xdr:cNvSpPr>
          <a:spLocks/>
        </xdr:cNvSpPr>
      </xdr:nvSpPr>
      <xdr:spPr>
        <a:xfrm>
          <a:off x="13068300" y="3286125"/>
          <a:ext cx="314325" cy="266700"/>
        </a:xfrm>
        <a:prstGeom prst="downArrow">
          <a:avLst>
            <a:gd name="adj" fmla="val 0"/>
          </a:avLst>
        </a:prstGeom>
        <a:solidFill>
          <a:srgbClr val="C3D69B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B</a:t>
          </a:r>
        </a:p>
      </xdr:txBody>
    </xdr:sp>
    <xdr:clientData/>
  </xdr:twoCellAnchor>
  <xdr:twoCellAnchor>
    <xdr:from>
      <xdr:col>10</xdr:col>
      <xdr:colOff>438150</xdr:colOff>
      <xdr:row>19</xdr:row>
      <xdr:rowOff>9525</xdr:rowOff>
    </xdr:from>
    <xdr:to>
      <xdr:col>10</xdr:col>
      <xdr:colOff>752475</xdr:colOff>
      <xdr:row>21</xdr:row>
      <xdr:rowOff>0</xdr:rowOff>
    </xdr:to>
    <xdr:sp>
      <xdr:nvSpPr>
        <xdr:cNvPr id="5" name="Flèche vers le bas 37"/>
        <xdr:cNvSpPr>
          <a:spLocks/>
        </xdr:cNvSpPr>
      </xdr:nvSpPr>
      <xdr:spPr>
        <a:xfrm>
          <a:off x="7772400" y="3276600"/>
          <a:ext cx="314325" cy="276225"/>
        </a:xfrm>
        <a:prstGeom prst="down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190500</xdr:colOff>
      <xdr:row>22</xdr:row>
      <xdr:rowOff>171450</xdr:rowOff>
    </xdr:to>
    <xdr:sp>
      <xdr:nvSpPr>
        <xdr:cNvPr id="6" name="Flèche vers le bas 44"/>
        <xdr:cNvSpPr>
          <a:spLocks/>
        </xdr:cNvSpPr>
      </xdr:nvSpPr>
      <xdr:spPr>
        <a:xfrm>
          <a:off x="0" y="3286125"/>
          <a:ext cx="400050" cy="657225"/>
        </a:xfrm>
        <a:prstGeom prst="downArrow">
          <a:avLst>
            <a:gd name="adj" fmla="val 221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 fPrintsWithSheet="0"/>
  </xdr:twoCellAnchor>
  <xdr:twoCellAnchor>
    <xdr:from>
      <xdr:col>6</xdr:col>
      <xdr:colOff>1095375</xdr:colOff>
      <xdr:row>18</xdr:row>
      <xdr:rowOff>171450</xdr:rowOff>
    </xdr:from>
    <xdr:to>
      <xdr:col>7</xdr:col>
      <xdr:colOff>19050</xdr:colOff>
      <xdr:row>19</xdr:row>
      <xdr:rowOff>209550</xdr:rowOff>
    </xdr:to>
    <xdr:sp>
      <xdr:nvSpPr>
        <xdr:cNvPr id="7" name="Flèche vers le bas 46"/>
        <xdr:cNvSpPr>
          <a:spLocks/>
        </xdr:cNvSpPr>
      </xdr:nvSpPr>
      <xdr:spPr>
        <a:xfrm>
          <a:off x="4857750" y="3200400"/>
          <a:ext cx="409575" cy="276225"/>
        </a:xfrm>
        <a:prstGeom prst="downArrow">
          <a:avLst>
            <a:gd name="adj" fmla="val 548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 fPrintsWithSheet="0"/>
  </xdr:twoCellAnchor>
  <xdr:twoCellAnchor>
    <xdr:from>
      <xdr:col>13</xdr:col>
      <xdr:colOff>1362075</xdr:colOff>
      <xdr:row>47</xdr:row>
      <xdr:rowOff>0</xdr:rowOff>
    </xdr:from>
    <xdr:to>
      <xdr:col>13</xdr:col>
      <xdr:colOff>1676400</xdr:colOff>
      <xdr:row>50</xdr:row>
      <xdr:rowOff>9525</xdr:rowOff>
    </xdr:to>
    <xdr:sp>
      <xdr:nvSpPr>
        <xdr:cNvPr id="8" name="Flèche vers le bas 28"/>
        <xdr:cNvSpPr>
          <a:spLocks/>
        </xdr:cNvSpPr>
      </xdr:nvSpPr>
      <xdr:spPr>
        <a:xfrm>
          <a:off x="13077825" y="9029700"/>
          <a:ext cx="314325" cy="304800"/>
        </a:xfrm>
        <a:prstGeom prst="downArrow">
          <a:avLst>
            <a:gd name="adj" fmla="val 0"/>
          </a:avLst>
        </a:prstGeom>
        <a:solidFill>
          <a:srgbClr val="C3D69B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B</a:t>
          </a:r>
        </a:p>
      </xdr:txBody>
    </xdr:sp>
    <xdr:clientData/>
  </xdr:twoCellAnchor>
  <xdr:twoCellAnchor>
    <xdr:from>
      <xdr:col>13</xdr:col>
      <xdr:colOff>1362075</xdr:colOff>
      <xdr:row>76</xdr:row>
      <xdr:rowOff>9525</xdr:rowOff>
    </xdr:from>
    <xdr:to>
      <xdr:col>13</xdr:col>
      <xdr:colOff>1676400</xdr:colOff>
      <xdr:row>79</xdr:row>
      <xdr:rowOff>0</xdr:rowOff>
    </xdr:to>
    <xdr:sp>
      <xdr:nvSpPr>
        <xdr:cNvPr id="9" name="Flèche vers le bas 31"/>
        <xdr:cNvSpPr>
          <a:spLocks/>
        </xdr:cNvSpPr>
      </xdr:nvSpPr>
      <xdr:spPr>
        <a:xfrm>
          <a:off x="13077825" y="14839950"/>
          <a:ext cx="314325" cy="257175"/>
        </a:xfrm>
        <a:prstGeom prst="downArrow">
          <a:avLst>
            <a:gd name="adj" fmla="val 0"/>
          </a:avLst>
        </a:prstGeom>
        <a:solidFill>
          <a:srgbClr val="C3D69B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B</a:t>
          </a:r>
        </a:p>
      </xdr:txBody>
    </xdr:sp>
    <xdr:clientData/>
  </xdr:twoCellAnchor>
  <xdr:twoCellAnchor>
    <xdr:from>
      <xdr:col>10</xdr:col>
      <xdr:colOff>438150</xdr:colOff>
      <xdr:row>47</xdr:row>
      <xdr:rowOff>0</xdr:rowOff>
    </xdr:from>
    <xdr:to>
      <xdr:col>10</xdr:col>
      <xdr:colOff>742950</xdr:colOff>
      <xdr:row>50</xdr:row>
      <xdr:rowOff>0</xdr:rowOff>
    </xdr:to>
    <xdr:sp>
      <xdr:nvSpPr>
        <xdr:cNvPr id="10" name="Flèche vers le bas 32"/>
        <xdr:cNvSpPr>
          <a:spLocks/>
        </xdr:cNvSpPr>
      </xdr:nvSpPr>
      <xdr:spPr>
        <a:xfrm>
          <a:off x="7772400" y="9029700"/>
          <a:ext cx="304800" cy="295275"/>
        </a:xfrm>
        <a:prstGeom prst="down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10</xdr:col>
      <xdr:colOff>438150</xdr:colOff>
      <xdr:row>76</xdr:row>
      <xdr:rowOff>9525</xdr:rowOff>
    </xdr:from>
    <xdr:to>
      <xdr:col>10</xdr:col>
      <xdr:colOff>742950</xdr:colOff>
      <xdr:row>79</xdr:row>
      <xdr:rowOff>0</xdr:rowOff>
    </xdr:to>
    <xdr:sp>
      <xdr:nvSpPr>
        <xdr:cNvPr id="11" name="Flèche vers le bas 34"/>
        <xdr:cNvSpPr>
          <a:spLocks/>
        </xdr:cNvSpPr>
      </xdr:nvSpPr>
      <xdr:spPr>
        <a:xfrm>
          <a:off x="7772400" y="14839950"/>
          <a:ext cx="304800" cy="257175"/>
        </a:xfrm>
        <a:prstGeom prst="down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0</xdr:col>
      <xdr:colOff>0</xdr:colOff>
      <xdr:row>47</xdr:row>
      <xdr:rowOff>28575</xdr:rowOff>
    </xdr:from>
    <xdr:to>
      <xdr:col>1</xdr:col>
      <xdr:colOff>200025</xdr:colOff>
      <xdr:row>51</xdr:row>
      <xdr:rowOff>123825</xdr:rowOff>
    </xdr:to>
    <xdr:sp>
      <xdr:nvSpPr>
        <xdr:cNvPr id="12" name="Flèche vers le bas 45"/>
        <xdr:cNvSpPr>
          <a:spLocks/>
        </xdr:cNvSpPr>
      </xdr:nvSpPr>
      <xdr:spPr>
        <a:xfrm>
          <a:off x="0" y="9058275"/>
          <a:ext cx="409575" cy="647700"/>
        </a:xfrm>
        <a:prstGeom prst="downArrow">
          <a:avLst>
            <a:gd name="adj" fmla="val 206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 fPrintsWithSheet="0"/>
  </xdr:twoCellAnchor>
  <xdr:twoCellAnchor>
    <xdr:from>
      <xdr:col>13</xdr:col>
      <xdr:colOff>0</xdr:colOff>
      <xdr:row>43</xdr:row>
      <xdr:rowOff>85725</xdr:rowOff>
    </xdr:from>
    <xdr:to>
      <xdr:col>13</xdr:col>
      <xdr:colOff>371475</xdr:colOff>
      <xdr:row>45</xdr:row>
      <xdr:rowOff>200025</xdr:rowOff>
    </xdr:to>
    <xdr:sp>
      <xdr:nvSpPr>
        <xdr:cNvPr id="13" name="Flèche vers le bas 48"/>
        <xdr:cNvSpPr>
          <a:spLocks/>
        </xdr:cNvSpPr>
      </xdr:nvSpPr>
      <xdr:spPr>
        <a:xfrm>
          <a:off x="11715750" y="8629650"/>
          <a:ext cx="371475" cy="2762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 fPrintsWithSheet="0"/>
  </xdr:twoCellAnchor>
  <xdr:twoCellAnchor>
    <xdr:from>
      <xdr:col>0</xdr:col>
      <xdr:colOff>0</xdr:colOff>
      <xdr:row>76</xdr:row>
      <xdr:rowOff>28575</xdr:rowOff>
    </xdr:from>
    <xdr:to>
      <xdr:col>1</xdr:col>
      <xdr:colOff>200025</xdr:colOff>
      <xdr:row>80</xdr:row>
      <xdr:rowOff>171450</xdr:rowOff>
    </xdr:to>
    <xdr:sp>
      <xdr:nvSpPr>
        <xdr:cNvPr id="14" name="Flèche vers le bas 49"/>
        <xdr:cNvSpPr>
          <a:spLocks/>
        </xdr:cNvSpPr>
      </xdr:nvSpPr>
      <xdr:spPr>
        <a:xfrm>
          <a:off x="0" y="14859000"/>
          <a:ext cx="409575" cy="647700"/>
        </a:xfrm>
        <a:prstGeom prst="downArrow">
          <a:avLst>
            <a:gd name="adj" fmla="val 197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 fPrintsWithSheet="0"/>
  </xdr:twoCellAnchor>
  <xdr:twoCellAnchor>
    <xdr:from>
      <xdr:col>13</xdr:col>
      <xdr:colOff>38100</xdr:colOff>
      <xdr:row>72</xdr:row>
      <xdr:rowOff>114300</xdr:rowOff>
    </xdr:from>
    <xdr:to>
      <xdr:col>13</xdr:col>
      <xdr:colOff>400050</xdr:colOff>
      <xdr:row>74</xdr:row>
      <xdr:rowOff>209550</xdr:rowOff>
    </xdr:to>
    <xdr:sp>
      <xdr:nvSpPr>
        <xdr:cNvPr id="15" name="Flèche vers le bas 50"/>
        <xdr:cNvSpPr>
          <a:spLocks/>
        </xdr:cNvSpPr>
      </xdr:nvSpPr>
      <xdr:spPr>
        <a:xfrm>
          <a:off x="11753850" y="14497050"/>
          <a:ext cx="361950" cy="2762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 fPrintsWithSheet="0"/>
  </xdr:twoCellAnchor>
  <xdr:twoCellAnchor>
    <xdr:from>
      <xdr:col>6</xdr:col>
      <xdr:colOff>1085850</xdr:colOff>
      <xdr:row>46</xdr:row>
      <xdr:rowOff>85725</xdr:rowOff>
    </xdr:from>
    <xdr:to>
      <xdr:col>6</xdr:col>
      <xdr:colOff>1323975</xdr:colOff>
      <xdr:row>48</xdr:row>
      <xdr:rowOff>0</xdr:rowOff>
    </xdr:to>
    <xdr:sp>
      <xdr:nvSpPr>
        <xdr:cNvPr id="16" name="Flèche vers le bas 53"/>
        <xdr:cNvSpPr>
          <a:spLocks/>
        </xdr:cNvSpPr>
      </xdr:nvSpPr>
      <xdr:spPr>
        <a:xfrm flipH="1">
          <a:off x="4848225" y="9029700"/>
          <a:ext cx="238125" cy="266700"/>
        </a:xfrm>
        <a:prstGeom prst="downArrow">
          <a:avLst>
            <a:gd name="adj" fmla="val 57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 fPrintsWithSheet="0"/>
  </xdr:twoCellAnchor>
  <xdr:twoCellAnchor>
    <xdr:from>
      <xdr:col>6</xdr:col>
      <xdr:colOff>1114425</xdr:colOff>
      <xdr:row>74</xdr:row>
      <xdr:rowOff>171450</xdr:rowOff>
    </xdr:from>
    <xdr:to>
      <xdr:col>7</xdr:col>
      <xdr:colOff>28575</xdr:colOff>
      <xdr:row>76</xdr:row>
      <xdr:rowOff>190500</xdr:rowOff>
    </xdr:to>
    <xdr:sp>
      <xdr:nvSpPr>
        <xdr:cNvPr id="17" name="Flèche vers le bas 54"/>
        <xdr:cNvSpPr>
          <a:spLocks/>
        </xdr:cNvSpPr>
      </xdr:nvSpPr>
      <xdr:spPr>
        <a:xfrm flipH="1">
          <a:off x="4876800" y="14735175"/>
          <a:ext cx="400050" cy="285750"/>
        </a:xfrm>
        <a:prstGeom prst="downArrow">
          <a:avLst>
            <a:gd name="adj" fmla="val 1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 fPrintsWithSheet="0"/>
  </xdr:twoCellAnchor>
  <xdr:twoCellAnchor>
    <xdr:from>
      <xdr:col>8</xdr:col>
      <xdr:colOff>1028700</xdr:colOff>
      <xdr:row>13</xdr:row>
      <xdr:rowOff>38100</xdr:rowOff>
    </xdr:from>
    <xdr:to>
      <xdr:col>9</xdr:col>
      <xdr:colOff>847725</xdr:colOff>
      <xdr:row>14</xdr:row>
      <xdr:rowOff>9525</xdr:rowOff>
    </xdr:to>
    <xdr:sp>
      <xdr:nvSpPr>
        <xdr:cNvPr id="18" name="Rectangle 2">
          <a:hlinkClick r:id="rId2"/>
        </xdr:cNvPr>
        <xdr:cNvSpPr>
          <a:spLocks/>
        </xdr:cNvSpPr>
      </xdr:nvSpPr>
      <xdr:spPr>
        <a:xfrm>
          <a:off x="6315075" y="2486025"/>
          <a:ext cx="857250" cy="219075"/>
        </a:xfrm>
        <a:prstGeom prst="rect">
          <a:avLst/>
        </a:prstGeom>
        <a:solidFill>
          <a:srgbClr val="DBEEF4"/>
        </a:solidFill>
        <a:ln w="2556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</a:t>
          </a:r>
        </a:p>
      </xdr:txBody>
    </xdr:sp>
    <xdr:clientData fPrintsWithSheet="0"/>
  </xdr:twoCellAnchor>
  <xdr:twoCellAnchor editAs="oneCell">
    <xdr:from>
      <xdr:col>13</xdr:col>
      <xdr:colOff>3343275</xdr:colOff>
      <xdr:row>0</xdr:row>
      <xdr:rowOff>0</xdr:rowOff>
    </xdr:from>
    <xdr:to>
      <xdr:col>14</xdr:col>
      <xdr:colOff>866775</xdr:colOff>
      <xdr:row>3</xdr:row>
      <xdr:rowOff>0</xdr:rowOff>
    </xdr:to>
    <xdr:pic>
      <xdr:nvPicPr>
        <xdr:cNvPr id="19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59025" y="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76200</xdr:rowOff>
    </xdr:from>
    <xdr:to>
      <xdr:col>1</xdr:col>
      <xdr:colOff>1181100</xdr:colOff>
      <xdr:row>2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133350</xdr:rowOff>
    </xdr:from>
    <xdr:to>
      <xdr:col>1</xdr:col>
      <xdr:colOff>133350</xdr:colOff>
      <xdr:row>12</xdr:row>
      <xdr:rowOff>9525</xdr:rowOff>
    </xdr:to>
    <xdr:sp>
      <xdr:nvSpPr>
        <xdr:cNvPr id="2" name="Flèche vers le bas 6"/>
        <xdr:cNvSpPr>
          <a:spLocks/>
        </xdr:cNvSpPr>
      </xdr:nvSpPr>
      <xdr:spPr>
        <a:xfrm>
          <a:off x="0" y="1695450"/>
          <a:ext cx="342900" cy="495300"/>
        </a:xfrm>
        <a:prstGeom prst="downArrow">
          <a:avLst>
            <a:gd name="adj" fmla="val 1601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 fPrintsWithSheet="0"/>
  </xdr:twoCellAnchor>
  <xdr:twoCellAnchor>
    <xdr:from>
      <xdr:col>13</xdr:col>
      <xdr:colOff>38100</xdr:colOff>
      <xdr:row>16</xdr:row>
      <xdr:rowOff>114300</xdr:rowOff>
    </xdr:from>
    <xdr:to>
      <xdr:col>13</xdr:col>
      <xdr:colOff>352425</xdr:colOff>
      <xdr:row>18</xdr:row>
      <xdr:rowOff>190500</xdr:rowOff>
    </xdr:to>
    <xdr:sp>
      <xdr:nvSpPr>
        <xdr:cNvPr id="3" name="Flèche vers le bas 29"/>
        <xdr:cNvSpPr>
          <a:spLocks/>
        </xdr:cNvSpPr>
      </xdr:nvSpPr>
      <xdr:spPr>
        <a:xfrm>
          <a:off x="11925300" y="2857500"/>
          <a:ext cx="304800" cy="323850"/>
        </a:xfrm>
        <a:prstGeom prst="downArrow">
          <a:avLst>
            <a:gd name="adj" fmla="val 302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 fPrintsWithSheet="0"/>
  </xdr:twoCellAnchor>
  <xdr:twoCellAnchor>
    <xdr:from>
      <xdr:col>13</xdr:col>
      <xdr:colOff>1362075</xdr:colOff>
      <xdr:row>19</xdr:row>
      <xdr:rowOff>19050</xdr:rowOff>
    </xdr:from>
    <xdr:to>
      <xdr:col>13</xdr:col>
      <xdr:colOff>1676400</xdr:colOff>
      <xdr:row>21</xdr:row>
      <xdr:rowOff>0</xdr:rowOff>
    </xdr:to>
    <xdr:sp>
      <xdr:nvSpPr>
        <xdr:cNvPr id="4" name="Flèche vers le bas 35"/>
        <xdr:cNvSpPr>
          <a:spLocks/>
        </xdr:cNvSpPr>
      </xdr:nvSpPr>
      <xdr:spPr>
        <a:xfrm>
          <a:off x="13249275" y="3248025"/>
          <a:ext cx="314325" cy="266700"/>
        </a:xfrm>
        <a:prstGeom prst="downArrow">
          <a:avLst>
            <a:gd name="adj" fmla="val 0"/>
          </a:avLst>
        </a:prstGeom>
        <a:solidFill>
          <a:srgbClr val="C3D69B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B</a:t>
          </a:r>
        </a:p>
      </xdr:txBody>
    </xdr:sp>
    <xdr:clientData/>
  </xdr:twoCellAnchor>
  <xdr:twoCellAnchor>
    <xdr:from>
      <xdr:col>10</xdr:col>
      <xdr:colOff>447675</xdr:colOff>
      <xdr:row>19</xdr:row>
      <xdr:rowOff>9525</xdr:rowOff>
    </xdr:from>
    <xdr:to>
      <xdr:col>10</xdr:col>
      <xdr:colOff>762000</xdr:colOff>
      <xdr:row>21</xdr:row>
      <xdr:rowOff>0</xdr:rowOff>
    </xdr:to>
    <xdr:sp>
      <xdr:nvSpPr>
        <xdr:cNvPr id="5" name="Flèche vers le bas 37"/>
        <xdr:cNvSpPr>
          <a:spLocks/>
        </xdr:cNvSpPr>
      </xdr:nvSpPr>
      <xdr:spPr>
        <a:xfrm>
          <a:off x="7953375" y="3238500"/>
          <a:ext cx="314325" cy="276225"/>
        </a:xfrm>
        <a:prstGeom prst="down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190500</xdr:colOff>
      <xdr:row>22</xdr:row>
      <xdr:rowOff>171450</xdr:rowOff>
    </xdr:to>
    <xdr:sp>
      <xdr:nvSpPr>
        <xdr:cNvPr id="6" name="Flèche vers le bas 44"/>
        <xdr:cNvSpPr>
          <a:spLocks/>
        </xdr:cNvSpPr>
      </xdr:nvSpPr>
      <xdr:spPr>
        <a:xfrm>
          <a:off x="0" y="3248025"/>
          <a:ext cx="400050" cy="657225"/>
        </a:xfrm>
        <a:prstGeom prst="downArrow">
          <a:avLst>
            <a:gd name="adj" fmla="val 2110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 fPrintsWithSheet="0"/>
  </xdr:twoCellAnchor>
  <xdr:twoCellAnchor>
    <xdr:from>
      <xdr:col>6</xdr:col>
      <xdr:colOff>1085850</xdr:colOff>
      <xdr:row>18</xdr:row>
      <xdr:rowOff>171450</xdr:rowOff>
    </xdr:from>
    <xdr:to>
      <xdr:col>7</xdr:col>
      <xdr:colOff>28575</xdr:colOff>
      <xdr:row>19</xdr:row>
      <xdr:rowOff>209550</xdr:rowOff>
    </xdr:to>
    <xdr:sp>
      <xdr:nvSpPr>
        <xdr:cNvPr id="7" name="Flèche vers le bas 46"/>
        <xdr:cNvSpPr>
          <a:spLocks/>
        </xdr:cNvSpPr>
      </xdr:nvSpPr>
      <xdr:spPr>
        <a:xfrm>
          <a:off x="5019675" y="3162300"/>
          <a:ext cx="428625" cy="2762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 fPrintsWithSheet="0"/>
  </xdr:twoCellAnchor>
  <xdr:twoCellAnchor>
    <xdr:from>
      <xdr:col>13</xdr:col>
      <xdr:colOff>1371600</xdr:colOff>
      <xdr:row>47</xdr:row>
      <xdr:rowOff>0</xdr:rowOff>
    </xdr:from>
    <xdr:to>
      <xdr:col>13</xdr:col>
      <xdr:colOff>1676400</xdr:colOff>
      <xdr:row>50</xdr:row>
      <xdr:rowOff>9525</xdr:rowOff>
    </xdr:to>
    <xdr:sp>
      <xdr:nvSpPr>
        <xdr:cNvPr id="8" name="Flèche vers le bas 28"/>
        <xdr:cNvSpPr>
          <a:spLocks/>
        </xdr:cNvSpPr>
      </xdr:nvSpPr>
      <xdr:spPr>
        <a:xfrm>
          <a:off x="13258800" y="8991600"/>
          <a:ext cx="304800" cy="304800"/>
        </a:xfrm>
        <a:prstGeom prst="downArrow">
          <a:avLst>
            <a:gd name="adj" fmla="val 0"/>
          </a:avLst>
        </a:prstGeom>
        <a:solidFill>
          <a:srgbClr val="C3D69B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B</a:t>
          </a:r>
        </a:p>
      </xdr:txBody>
    </xdr:sp>
    <xdr:clientData/>
  </xdr:twoCellAnchor>
  <xdr:twoCellAnchor>
    <xdr:from>
      <xdr:col>13</xdr:col>
      <xdr:colOff>1371600</xdr:colOff>
      <xdr:row>76</xdr:row>
      <xdr:rowOff>9525</xdr:rowOff>
    </xdr:from>
    <xdr:to>
      <xdr:col>13</xdr:col>
      <xdr:colOff>1676400</xdr:colOff>
      <xdr:row>79</xdr:row>
      <xdr:rowOff>0</xdr:rowOff>
    </xdr:to>
    <xdr:sp>
      <xdr:nvSpPr>
        <xdr:cNvPr id="9" name="Flèche vers le bas 31"/>
        <xdr:cNvSpPr>
          <a:spLocks/>
        </xdr:cNvSpPr>
      </xdr:nvSpPr>
      <xdr:spPr>
        <a:xfrm>
          <a:off x="13258800" y="14801850"/>
          <a:ext cx="304800" cy="257175"/>
        </a:xfrm>
        <a:prstGeom prst="downArrow">
          <a:avLst>
            <a:gd name="adj" fmla="val 0"/>
          </a:avLst>
        </a:prstGeom>
        <a:solidFill>
          <a:srgbClr val="C3D69B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B</a:t>
          </a:r>
        </a:p>
      </xdr:txBody>
    </xdr:sp>
    <xdr:clientData/>
  </xdr:twoCellAnchor>
  <xdr:twoCellAnchor>
    <xdr:from>
      <xdr:col>10</xdr:col>
      <xdr:colOff>447675</xdr:colOff>
      <xdr:row>47</xdr:row>
      <xdr:rowOff>0</xdr:rowOff>
    </xdr:from>
    <xdr:to>
      <xdr:col>10</xdr:col>
      <xdr:colOff>752475</xdr:colOff>
      <xdr:row>50</xdr:row>
      <xdr:rowOff>0</xdr:rowOff>
    </xdr:to>
    <xdr:sp>
      <xdr:nvSpPr>
        <xdr:cNvPr id="10" name="Flèche vers le bas 32"/>
        <xdr:cNvSpPr>
          <a:spLocks/>
        </xdr:cNvSpPr>
      </xdr:nvSpPr>
      <xdr:spPr>
        <a:xfrm>
          <a:off x="7953375" y="8991600"/>
          <a:ext cx="304800" cy="295275"/>
        </a:xfrm>
        <a:prstGeom prst="down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10</xdr:col>
      <xdr:colOff>447675</xdr:colOff>
      <xdr:row>76</xdr:row>
      <xdr:rowOff>9525</xdr:rowOff>
    </xdr:from>
    <xdr:to>
      <xdr:col>10</xdr:col>
      <xdr:colOff>752475</xdr:colOff>
      <xdr:row>79</xdr:row>
      <xdr:rowOff>0</xdr:rowOff>
    </xdr:to>
    <xdr:sp>
      <xdr:nvSpPr>
        <xdr:cNvPr id="11" name="Flèche vers le bas 34"/>
        <xdr:cNvSpPr>
          <a:spLocks/>
        </xdr:cNvSpPr>
      </xdr:nvSpPr>
      <xdr:spPr>
        <a:xfrm>
          <a:off x="7953375" y="14801850"/>
          <a:ext cx="304800" cy="257175"/>
        </a:xfrm>
        <a:prstGeom prst="down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0</xdr:col>
      <xdr:colOff>0</xdr:colOff>
      <xdr:row>47</xdr:row>
      <xdr:rowOff>28575</xdr:rowOff>
    </xdr:from>
    <xdr:to>
      <xdr:col>1</xdr:col>
      <xdr:colOff>200025</xdr:colOff>
      <xdr:row>51</xdr:row>
      <xdr:rowOff>123825</xdr:rowOff>
    </xdr:to>
    <xdr:sp>
      <xdr:nvSpPr>
        <xdr:cNvPr id="12" name="Flèche vers le bas 45"/>
        <xdr:cNvSpPr>
          <a:spLocks/>
        </xdr:cNvSpPr>
      </xdr:nvSpPr>
      <xdr:spPr>
        <a:xfrm>
          <a:off x="0" y="9020175"/>
          <a:ext cx="409575" cy="647700"/>
        </a:xfrm>
        <a:prstGeom prst="downArrow">
          <a:avLst>
            <a:gd name="adj" fmla="val 190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 fPrintsWithSheet="0"/>
  </xdr:twoCellAnchor>
  <xdr:twoCellAnchor>
    <xdr:from>
      <xdr:col>13</xdr:col>
      <xdr:colOff>0</xdr:colOff>
      <xdr:row>43</xdr:row>
      <xdr:rowOff>85725</xdr:rowOff>
    </xdr:from>
    <xdr:to>
      <xdr:col>13</xdr:col>
      <xdr:colOff>381000</xdr:colOff>
      <xdr:row>45</xdr:row>
      <xdr:rowOff>200025</xdr:rowOff>
    </xdr:to>
    <xdr:sp>
      <xdr:nvSpPr>
        <xdr:cNvPr id="13" name="Flèche vers le bas 48"/>
        <xdr:cNvSpPr>
          <a:spLocks/>
        </xdr:cNvSpPr>
      </xdr:nvSpPr>
      <xdr:spPr>
        <a:xfrm>
          <a:off x="11887200" y="8591550"/>
          <a:ext cx="381000" cy="2762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 fPrintsWithSheet="0"/>
  </xdr:twoCellAnchor>
  <xdr:twoCellAnchor>
    <xdr:from>
      <xdr:col>0</xdr:col>
      <xdr:colOff>0</xdr:colOff>
      <xdr:row>76</xdr:row>
      <xdr:rowOff>28575</xdr:rowOff>
    </xdr:from>
    <xdr:to>
      <xdr:col>1</xdr:col>
      <xdr:colOff>200025</xdr:colOff>
      <xdr:row>80</xdr:row>
      <xdr:rowOff>171450</xdr:rowOff>
    </xdr:to>
    <xdr:sp>
      <xdr:nvSpPr>
        <xdr:cNvPr id="14" name="Flèche vers le bas 49"/>
        <xdr:cNvSpPr>
          <a:spLocks/>
        </xdr:cNvSpPr>
      </xdr:nvSpPr>
      <xdr:spPr>
        <a:xfrm>
          <a:off x="0" y="14820900"/>
          <a:ext cx="409575" cy="647700"/>
        </a:xfrm>
        <a:prstGeom prst="downArrow">
          <a:avLst>
            <a:gd name="adj" fmla="val 1820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 fPrintsWithSheet="0"/>
  </xdr:twoCellAnchor>
  <xdr:twoCellAnchor>
    <xdr:from>
      <xdr:col>13</xdr:col>
      <xdr:colOff>38100</xdr:colOff>
      <xdr:row>72</xdr:row>
      <xdr:rowOff>114300</xdr:rowOff>
    </xdr:from>
    <xdr:to>
      <xdr:col>13</xdr:col>
      <xdr:colOff>409575</xdr:colOff>
      <xdr:row>74</xdr:row>
      <xdr:rowOff>209550</xdr:rowOff>
    </xdr:to>
    <xdr:sp>
      <xdr:nvSpPr>
        <xdr:cNvPr id="15" name="Flèche vers le bas 50"/>
        <xdr:cNvSpPr>
          <a:spLocks/>
        </xdr:cNvSpPr>
      </xdr:nvSpPr>
      <xdr:spPr>
        <a:xfrm>
          <a:off x="11925300" y="14458950"/>
          <a:ext cx="371475" cy="2762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 fPrintsWithSheet="0"/>
  </xdr:twoCellAnchor>
  <xdr:twoCellAnchor>
    <xdr:from>
      <xdr:col>6</xdr:col>
      <xdr:colOff>1076325</xdr:colOff>
      <xdr:row>46</xdr:row>
      <xdr:rowOff>85725</xdr:rowOff>
    </xdr:from>
    <xdr:to>
      <xdr:col>6</xdr:col>
      <xdr:colOff>1314450</xdr:colOff>
      <xdr:row>48</xdr:row>
      <xdr:rowOff>0</xdr:rowOff>
    </xdr:to>
    <xdr:sp>
      <xdr:nvSpPr>
        <xdr:cNvPr id="16" name="Flèche vers le bas 53"/>
        <xdr:cNvSpPr>
          <a:spLocks/>
        </xdr:cNvSpPr>
      </xdr:nvSpPr>
      <xdr:spPr>
        <a:xfrm flipH="1">
          <a:off x="5010150" y="8991600"/>
          <a:ext cx="238125" cy="266700"/>
        </a:xfrm>
        <a:prstGeom prst="downArrow">
          <a:avLst>
            <a:gd name="adj" fmla="val 45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 fPrintsWithSheet="0"/>
  </xdr:twoCellAnchor>
  <xdr:twoCellAnchor>
    <xdr:from>
      <xdr:col>6</xdr:col>
      <xdr:colOff>1114425</xdr:colOff>
      <xdr:row>74</xdr:row>
      <xdr:rowOff>171450</xdr:rowOff>
    </xdr:from>
    <xdr:to>
      <xdr:col>8</xdr:col>
      <xdr:colOff>0</xdr:colOff>
      <xdr:row>76</xdr:row>
      <xdr:rowOff>190500</xdr:rowOff>
    </xdr:to>
    <xdr:sp>
      <xdr:nvSpPr>
        <xdr:cNvPr id="17" name="Flèche vers le bas 54"/>
        <xdr:cNvSpPr>
          <a:spLocks/>
        </xdr:cNvSpPr>
      </xdr:nvSpPr>
      <xdr:spPr>
        <a:xfrm flipH="1">
          <a:off x="5048250" y="14697075"/>
          <a:ext cx="409575" cy="285750"/>
        </a:xfrm>
        <a:prstGeom prst="downArrow">
          <a:avLst>
            <a:gd name="adj" fmla="val -8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 fPrintsWithSheet="0"/>
  </xdr:twoCellAnchor>
  <xdr:twoCellAnchor editAs="oneCell">
    <xdr:from>
      <xdr:col>13</xdr:col>
      <xdr:colOff>3133725</xdr:colOff>
      <xdr:row>0</xdr:row>
      <xdr:rowOff>0</xdr:rowOff>
    </xdr:from>
    <xdr:to>
      <xdr:col>14</xdr:col>
      <xdr:colOff>657225</xdr:colOff>
      <xdr:row>3</xdr:row>
      <xdr:rowOff>0</xdr:rowOff>
    </xdr:to>
    <xdr:pic>
      <xdr:nvPicPr>
        <xdr:cNvPr id="18" name="Imag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13</xdr:col>
      <xdr:colOff>9525</xdr:colOff>
      <xdr:row>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90500" y="38100"/>
          <a:ext cx="8591550" cy="1000125"/>
        </a:xfrm>
        <a:prstGeom prst="rect">
          <a:avLst/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tableau  prévoit  la déduction des CP en cas d’arrêt de travail pour maladie non professionnelle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au-delà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38,4 semaines/année de référence   - Le contrat ANAMAAF est en conformité avec l’article 7 de la directive européenne CE 2003/88/CE du 04 novembre 2003, et la décision de la Cour de Justice Européenne  dans son arrêt du 24 Janvier 2012, - tout salarié absent en raison d’une maladie professionnelle ou non (ou en chômage partiel) a droit à un congé annuel payé d’au moins  4 semaines - c’est l’année de référence qui fixe le début et la fin – exemple un arrêt continu de 43 semaines réparti sur 2 années de référence   ne génère pas de déduction de jours de congés payés acquis.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13</xdr:col>
      <xdr:colOff>9525</xdr:colOff>
      <xdr:row>16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90500" y="1085850"/>
          <a:ext cx="8591550" cy="914400"/>
        </a:xfrm>
        <a:prstGeom prst="rect">
          <a:avLst/>
        </a:prstGeom>
        <a:solidFill>
          <a:srgbClr val="EEECE1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19050</xdr:rowOff>
    </xdr:from>
    <xdr:to>
      <xdr:col>12</xdr:col>
      <xdr:colOff>657225</xdr:colOff>
      <xdr:row>16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47650" y="1104900"/>
          <a:ext cx="84963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Formule pour calculer le nombre de jours de congés payés à déduire 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[Nombre de semaines totales d’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absence pour maladie non professionnelle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l’année de référence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moins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38,4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semaines]/4 X 2.5 dans la limite de 6 jours maximum – la règle de l’arrondi s’appliquant à la fin de l’année de référence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showGridLines="0" tabSelected="1" zoomScale="75" zoomScaleNormal="75" zoomScaleSheetLayoutView="95" zoomScalePageLayoutView="96" workbookViewId="0" topLeftCell="A1">
      <selection activeCell="E4" sqref="E4:J4"/>
    </sheetView>
  </sheetViews>
  <sheetFormatPr defaultColWidth="13.83203125" defaultRowHeight="11.25"/>
  <cols>
    <col min="1" max="1" width="3.66015625" style="0" customWidth="1"/>
    <col min="2" max="2" width="32.33203125" style="0" customWidth="1"/>
    <col min="3" max="3" width="13" style="0" customWidth="1"/>
    <col min="4" max="4" width="3" style="0" customWidth="1"/>
    <col min="5" max="5" width="7" style="0" customWidth="1"/>
    <col min="6" max="6" width="6.83203125" style="0" customWidth="1"/>
    <col min="7" max="7" width="26" style="0" customWidth="1"/>
    <col min="8" max="8" width="0.65625" style="0" customWidth="1"/>
    <col min="9" max="9" width="18.16015625" style="0" customWidth="1"/>
    <col min="10" max="10" width="17.66015625" style="0" customWidth="1"/>
    <col min="11" max="11" width="39.5" style="0" customWidth="1"/>
    <col min="12" max="12" width="17.66015625" style="0" customWidth="1"/>
    <col min="13" max="13" width="19.5" style="0" customWidth="1"/>
    <col min="14" max="14" width="62" style="0" customWidth="1"/>
    <col min="15" max="15" width="19.16015625" style="0" customWidth="1"/>
    <col min="16" max="16" width="13.83203125" style="99" hidden="1" customWidth="1"/>
    <col min="17" max="17" width="4.66015625" style="0" customWidth="1"/>
    <col min="18" max="18" width="9" style="0" customWidth="1"/>
    <col min="19" max="19" width="9.5" style="0" customWidth="1"/>
    <col min="20" max="20" width="3.66015625" style="0" customWidth="1"/>
    <col min="21" max="21" width="13.83203125" style="0" customWidth="1"/>
    <col min="22" max="22" width="8.66015625" style="0" customWidth="1"/>
    <col min="23" max="23" width="3.33203125" style="0" customWidth="1"/>
    <col min="24" max="24" width="1.66796875" style="0" customWidth="1"/>
  </cols>
  <sheetData>
    <row r="1" spans="1:15" ht="66.75" customHeight="1">
      <c r="A1" s="234" t="str">
        <f>IF(AND($A$13="x",$A$14=""),"CALCUL  DES CONGES PAYES : Mensualisation Congés payées Non Inclus
",IF(AND($A$13="",$A$14="x"),"CALCUL  DES CONGES PAYES: Mensualisation Congés payés Inclus",""))</f>
        <v>CALCUL  DES CONGES PAYES: Mensualisation Congés payés Inclus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ht="9" customHeight="1"/>
    <row r="3" ht="3.75" customHeight="1"/>
    <row r="4" spans="1:15" ht="18.75" customHeight="1">
      <c r="A4" s="275" t="s">
        <v>51</v>
      </c>
      <c r="B4" s="275"/>
      <c r="C4" s="275"/>
      <c r="D4" s="79"/>
      <c r="E4" s="265"/>
      <c r="F4" s="265"/>
      <c r="G4" s="265"/>
      <c r="H4" s="265"/>
      <c r="I4" s="265"/>
      <c r="J4" s="265"/>
      <c r="K4" s="266" t="s">
        <v>52</v>
      </c>
      <c r="L4" s="266"/>
      <c r="M4" s="142"/>
      <c r="N4" s="265"/>
      <c r="O4" s="265"/>
    </row>
    <row r="5" spans="1:2" ht="1.5" customHeight="1">
      <c r="A5" s="14"/>
      <c r="B5" s="14"/>
    </row>
    <row r="6" spans="1:2" ht="1.5" customHeight="1">
      <c r="A6" s="14"/>
      <c r="B6" s="14"/>
    </row>
    <row r="7" spans="1:2" ht="1.5" customHeight="1">
      <c r="A7" s="14"/>
      <c r="B7" s="14"/>
    </row>
    <row r="8" spans="1:15" ht="18.75" customHeight="1">
      <c r="A8" s="289" t="s">
        <v>50</v>
      </c>
      <c r="B8" s="289"/>
      <c r="C8" s="289"/>
      <c r="D8" s="78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</row>
    <row r="9" spans="1:2" ht="1.5" customHeight="1">
      <c r="A9" s="4"/>
      <c r="B9" s="4"/>
    </row>
    <row r="10" spans="1:16" ht="16.5" customHeight="1">
      <c r="A10" s="274" t="s">
        <v>46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100"/>
    </row>
    <row r="11" spans="1:16" ht="21" customHeight="1">
      <c r="A11" s="2"/>
      <c r="B11" s="274" t="s">
        <v>32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100"/>
    </row>
    <row r="12" spans="1:6" ht="11.25" customHeight="1">
      <c r="A12" s="221" t="s">
        <v>47</v>
      </c>
      <c r="B12" s="222"/>
      <c r="C12" s="222"/>
      <c r="D12" s="222"/>
      <c r="E12" s="222"/>
      <c r="F12" s="223"/>
    </row>
    <row r="13" spans="1:15" ht="21">
      <c r="A13" s="6"/>
      <c r="B13" s="313" t="s">
        <v>29</v>
      </c>
      <c r="C13" s="314"/>
      <c r="D13" s="314"/>
      <c r="E13" s="314"/>
      <c r="F13" s="315"/>
      <c r="G13" s="224">
        <f>IF(AND(A13="x",A14="x"),"Attention, veuillez saisir une seule cellule, recommencez! ",IF(AND(A13="",A14=""),"ATTENTION ,veuillez saisir ci contre le calcul des congés payés ",""))</f>
      </c>
      <c r="H13" s="225"/>
      <c r="I13" s="225"/>
      <c r="J13" s="225"/>
      <c r="K13" s="225"/>
      <c r="L13" s="225"/>
      <c r="M13" s="225"/>
      <c r="N13" s="225"/>
      <c r="O13" s="225"/>
    </row>
    <row r="14" spans="1:16" ht="19.5" customHeight="1">
      <c r="A14" s="6" t="s">
        <v>49</v>
      </c>
      <c r="B14" s="316" t="s">
        <v>30</v>
      </c>
      <c r="C14" s="317"/>
      <c r="D14" s="317"/>
      <c r="E14" s="317"/>
      <c r="F14" s="318"/>
      <c r="G14" s="259" t="s">
        <v>78</v>
      </c>
      <c r="H14" s="260"/>
      <c r="I14" s="260"/>
      <c r="J14" s="213"/>
      <c r="K14" s="7"/>
      <c r="O14" s="9"/>
      <c r="P14" s="101"/>
    </row>
    <row r="15" spans="2:14" ht="3.75" customHeight="1">
      <c r="B15" s="2"/>
      <c r="N15" s="3"/>
    </row>
    <row r="16" ht="3" customHeight="1">
      <c r="N16" s="3"/>
    </row>
    <row r="17" spans="1:16" ht="15.75">
      <c r="A17" s="251" t="s">
        <v>31</v>
      </c>
      <c r="B17" s="252"/>
      <c r="C17" s="252"/>
      <c r="D17" s="252"/>
      <c r="E17" s="252"/>
      <c r="F17" s="252"/>
      <c r="G17" s="253"/>
      <c r="I17" s="15"/>
      <c r="J17" s="1"/>
      <c r="K17" s="1"/>
      <c r="L17" s="1"/>
      <c r="M17" s="1"/>
      <c r="N17" s="1"/>
      <c r="O17" s="1"/>
      <c r="P17" s="102"/>
    </row>
    <row r="18" spans="1:15" ht="3.75" customHeight="1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8">
        <f>IF(AND(A13="x",A14=""),I26/10,IF(AND(A13="",A14="x"),(I26/110)*10,""))</f>
        <v>0</v>
      </c>
    </row>
    <row r="19" spans="1:16" ht="18.75" customHeight="1">
      <c r="A19" s="238" t="s">
        <v>23</v>
      </c>
      <c r="B19" s="239"/>
      <c r="C19" s="239"/>
      <c r="D19" s="239"/>
      <c r="E19" s="239"/>
      <c r="F19" s="239"/>
      <c r="G19" s="240"/>
      <c r="J19" s="16"/>
      <c r="K19" s="143" t="s">
        <v>20</v>
      </c>
      <c r="L19" s="17"/>
      <c r="M19" s="193"/>
      <c r="O19" s="10"/>
      <c r="P19" s="102"/>
    </row>
    <row r="20" spans="1:16" ht="21" customHeight="1">
      <c r="A20" s="276" t="s">
        <v>35</v>
      </c>
      <c r="B20" s="277"/>
      <c r="C20" s="277"/>
      <c r="D20" s="277"/>
      <c r="E20" s="277"/>
      <c r="F20" s="277"/>
      <c r="G20" s="278"/>
      <c r="I20" s="267" t="s">
        <v>42</v>
      </c>
      <c r="J20" s="268"/>
      <c r="K20" s="268"/>
      <c r="L20" s="268"/>
      <c r="M20" s="268"/>
      <c r="N20" s="268"/>
      <c r="O20" s="269"/>
      <c r="P20" s="102"/>
    </row>
    <row r="21" spans="1:16" ht="1.5" customHeight="1">
      <c r="A21" s="11"/>
      <c r="B21" s="11"/>
      <c r="C21" s="11"/>
      <c r="D21" s="11"/>
      <c r="E21" s="11"/>
      <c r="F21" s="11"/>
      <c r="G21" s="11"/>
      <c r="P21" s="102"/>
    </row>
    <row r="22" spans="1:15" ht="17.25" customHeight="1">
      <c r="A22" s="254" t="s">
        <v>24</v>
      </c>
      <c r="B22" s="255"/>
      <c r="C22" s="255"/>
      <c r="D22" s="255"/>
      <c r="E22" s="255"/>
      <c r="F22" s="161"/>
      <c r="G22" s="18" t="s">
        <v>3</v>
      </c>
      <c r="H22" s="19"/>
      <c r="I22" s="231" t="s">
        <v>34</v>
      </c>
      <c r="J22" s="232"/>
      <c r="K22" s="232"/>
      <c r="L22" s="233"/>
      <c r="M22" s="194"/>
      <c r="N22" s="272" t="s">
        <v>33</v>
      </c>
      <c r="O22" s="273"/>
    </row>
    <row r="23" spans="1:15" ht="18" customHeight="1">
      <c r="A23" s="290" t="s">
        <v>39</v>
      </c>
      <c r="B23" s="290"/>
      <c r="C23" s="290"/>
      <c r="D23" s="290"/>
      <c r="E23" s="290"/>
      <c r="F23" s="241" t="s">
        <v>38</v>
      </c>
      <c r="G23" s="242"/>
      <c r="H23" s="19"/>
      <c r="I23" s="237" t="str">
        <f>IF(AND(A13="x",A14=""),"Salaires BRUT versés /mois Hors Heures comp/supp",IF(AND(A13="",A14="x"),"Salaires BRUT mensualisés",""))</f>
        <v>Salaires BRUT mensualisés</v>
      </c>
      <c r="J23" s="247" t="str">
        <f>IF(AND(A13="x",A14=""),"1ère formule de Calcul (Sur salaire Brut): 11%",IF(AND(A13="",A14="x"),"Dont les congés payés inclus",""))</f>
        <v>Dont les congés payés inclus</v>
      </c>
      <c r="K23" s="247" t="str">
        <f>IF(AND(A13="x",A14=""),"Heures comp/supp-Indiquer le montant du salaire BRUT correspondant uniquement aux Heures complet/ou suppl versées/mois",IF(AND(A13="",A14="x"),"Heures comp/supp-Indiquer le montant du salaire BRUT correspondant uniquement aux Heures complet/ou suppl versées/mois",""))</f>
        <v>Heures comp/supp-Indiquer le montant du salaire BRUT correspondant uniquement aux Heures complet/ou suppl versées/mois</v>
      </c>
      <c r="L23" s="247">
        <f>IF(AND(A13="x",A14=""),"1ère formule de Calcul (Sur les heures comp/supp): 11%",IF(AND(A13="",A14="x"),"",""))</f>
      </c>
      <c r="M23" s="215" t="str">
        <f>IF(AND(A13="x",A14=""),"Autre formule de calcul",IF(AND(A13="",A14="x"),"Montant Congés à percevoir heures comp ou supp  à 11%",""))</f>
        <v>Montant Congés à percevoir heures comp ou supp  à 11%</v>
      </c>
      <c r="N23" s="270" t="s">
        <v>4</v>
      </c>
      <c r="O23" s="271"/>
    </row>
    <row r="24" spans="1:15" ht="80.25" customHeight="1">
      <c r="A24" s="290"/>
      <c r="B24" s="290"/>
      <c r="C24" s="303"/>
      <c r="D24" s="303"/>
      <c r="E24" s="290"/>
      <c r="F24" s="243"/>
      <c r="G24" s="244"/>
      <c r="H24" s="19"/>
      <c r="I24" s="237"/>
      <c r="J24" s="248"/>
      <c r="K24" s="248"/>
      <c r="L24" s="248"/>
      <c r="M24" s="216"/>
      <c r="N24" s="270"/>
      <c r="O24" s="271"/>
    </row>
    <row r="25" spans="1:15" ht="14.25" customHeight="1">
      <c r="A25" s="205"/>
      <c r="B25" s="206"/>
      <c r="C25" s="206"/>
      <c r="D25" s="207"/>
      <c r="E25" s="204"/>
      <c r="F25" s="229">
        <f>IF(AND(J14="oui",O91="non"),"Le -non- est activé en cellule O91,modifié en -oui-, si report des CP ","")</f>
      </c>
      <c r="G25" s="230"/>
      <c r="H25" s="230"/>
      <c r="I25" s="230"/>
      <c r="J25" s="230"/>
      <c r="K25" s="230"/>
      <c r="L25" s="230"/>
      <c r="M25" s="111"/>
      <c r="N25" s="139" t="s">
        <v>5</v>
      </c>
      <c r="O25" s="112"/>
    </row>
    <row r="26" spans="1:16" ht="15.75" customHeight="1">
      <c r="A26" s="36" t="s">
        <v>19</v>
      </c>
      <c r="B26" s="37"/>
      <c r="C26" s="164" t="str">
        <f>IF(ISBLANK(J19),"janvier",J19)</f>
        <v>janvier</v>
      </c>
      <c r="D26" s="80"/>
      <c r="E26" s="162">
        <v>0</v>
      </c>
      <c r="F26" s="219"/>
      <c r="G26" s="220"/>
      <c r="H26" s="19"/>
      <c r="I26" s="51"/>
      <c r="J26" s="212">
        <f>IF(AND($A$13="x",$A$14=""),$I$26*11/100,IF(AND($A$13="",$A$14="x"),(($I$26/1.1)*11%),""))</f>
        <v>0</v>
      </c>
      <c r="K26" s="23"/>
      <c r="L26" s="22">
        <f>IF(AND($A$13="x",$A$14=""),$K$26*11/100,"")</f>
      </c>
      <c r="M26" s="24">
        <f>IF(AND($A$13="x",$A$14=""),($I$26+$K$26)/10,IF(AND($A$13="",$A$14="x"),$K$26*11/100,""))</f>
        <v>0</v>
      </c>
      <c r="N26" s="113" t="s">
        <v>6</v>
      </c>
      <c r="O26" s="25">
        <f>ROUNDUP(O25/26,2)</f>
        <v>0</v>
      </c>
      <c r="P26" s="102"/>
    </row>
    <row r="27" spans="1:15" ht="14.25">
      <c r="A27" s="20" t="s">
        <v>18</v>
      </c>
      <c r="B27" s="21"/>
      <c r="C27" s="84" t="str">
        <f>IF(ISBLANK(J$19),"février",(_XLL.MOIS.DECALER(C26,1)))</f>
        <v>février</v>
      </c>
      <c r="D27" s="80"/>
      <c r="E27" s="87">
        <v>0</v>
      </c>
      <c r="F27" s="219"/>
      <c r="G27" s="220"/>
      <c r="H27" s="19"/>
      <c r="I27" s="51"/>
      <c r="J27" s="212">
        <f>IF(AND($A$13="x",$A$14=""),$I$27*11/100,IF(AND($A$13="",$A$14="x"),(($I$27/1.1)*11%),""))</f>
        <v>0</v>
      </c>
      <c r="K27" s="23"/>
      <c r="L27" s="22">
        <f>IF(AND($A$13="x",$A$14=""),$K$27*11/100,"")</f>
      </c>
      <c r="M27" s="24">
        <f>IF(AND($A$13="x",$A$14=""),($I$27+$K$27)/10,IF(AND($A$13="",$A$14="x"),$K$27*11/100,""))</f>
        <v>0</v>
      </c>
      <c r="N27" s="114" t="s">
        <v>41</v>
      </c>
      <c r="O27" s="115">
        <f>F41*O26</f>
        <v>0</v>
      </c>
    </row>
    <row r="28" spans="1:16" ht="15.75">
      <c r="A28" s="20" t="s">
        <v>17</v>
      </c>
      <c r="B28" s="21"/>
      <c r="C28" s="84" t="str">
        <f>IF(ISBLANK(J$19),"mars",(_XLL.MOIS.DECALER(C27,1)))</f>
        <v>mars</v>
      </c>
      <c r="D28" s="80"/>
      <c r="E28" s="87">
        <v>0</v>
      </c>
      <c r="F28" s="219"/>
      <c r="G28" s="220"/>
      <c r="H28" s="19"/>
      <c r="I28" s="51"/>
      <c r="J28" s="212">
        <f>IF(AND($A$13="x",$A$14=""),$I$28*11/100,IF(AND($A$13="",$A$14="x"),(($I$28/1.1)*11%),""))</f>
        <v>0</v>
      </c>
      <c r="K28" s="23"/>
      <c r="L28" s="22">
        <f>IF(AND($A$13="x",$A$14=""),$K$28*11/100,"")</f>
      </c>
      <c r="M28" s="24">
        <f>IF(AND($A$13="x",$A$14=""),($I$28+$K$28)/10,IF(AND($A$13="",$A$14="x"),$K$28*11/100,""))</f>
        <v>0</v>
      </c>
      <c r="N28" s="116" t="s">
        <v>65</v>
      </c>
      <c r="O28" s="117">
        <f>E43*O26</f>
        <v>0</v>
      </c>
      <c r="P28" s="99">
        <f>IF(AND(valeur_cp_non_pris&lt;0,O33="oui"),-valeur_cp_non_pris,0)</f>
        <v>0</v>
      </c>
    </row>
    <row r="29" spans="1:15" ht="14.25">
      <c r="A29" s="20" t="s">
        <v>16</v>
      </c>
      <c r="B29" s="21"/>
      <c r="C29" s="84" t="str">
        <f>IF(ISBLANK(J$19),"avril",(_XLL.MOIS.DECALER(C28,1)))</f>
        <v>avril</v>
      </c>
      <c r="D29" s="80"/>
      <c r="E29" s="87">
        <v>0</v>
      </c>
      <c r="F29" s="219"/>
      <c r="G29" s="220"/>
      <c r="H29" s="19"/>
      <c r="I29" s="51"/>
      <c r="J29" s="212">
        <f>IF(AND($A$13="x",$A$14=""),$I$29*11/100,IF(AND($A$13="",$A$14="x"),(($I$29/1.1)*11%),""))</f>
        <v>0</v>
      </c>
      <c r="K29" s="23"/>
      <c r="L29" s="22">
        <f>IF(AND($A$13="x",$A$14=""),$K$29*11/100,"")</f>
      </c>
      <c r="M29" s="24">
        <f>IF(AND($A$13="x",$A$14=""),($I$29+$K$29)/10,IF(AND($A$13="",$A$14="x"),$K$29*11/100,""))</f>
        <v>0</v>
      </c>
      <c r="N29" s="118" t="s">
        <v>40</v>
      </c>
      <c r="O29" s="26">
        <f>F40*O26</f>
        <v>0</v>
      </c>
    </row>
    <row r="30" spans="1:15" ht="14.25">
      <c r="A30" s="20" t="s">
        <v>15</v>
      </c>
      <c r="B30" s="21"/>
      <c r="C30" s="84" t="str">
        <f>IF(ISBLANK(J$19),"mai",(_XLL.MOIS.DECALER(C29,1)))</f>
        <v>mai</v>
      </c>
      <c r="D30" s="80"/>
      <c r="E30" s="87">
        <v>0</v>
      </c>
      <c r="F30" s="219"/>
      <c r="G30" s="220"/>
      <c r="H30" s="19"/>
      <c r="I30" s="51"/>
      <c r="J30" s="212">
        <f>IF(AND($A$13="x",$A$14=""),$I$30*11/100,IF(AND($A$13="",$A$14="x"),(($I$30/1.1)*11%),""))</f>
        <v>0</v>
      </c>
      <c r="K30" s="23"/>
      <c r="L30" s="22">
        <f>IF(AND($A$13="x",$A$14=""),$K$30*11/100,"")</f>
      </c>
      <c r="M30" s="24">
        <f>IF(AND($A$13="x",$A$14=""),($I$30+$K$30)/10,IF(AND($A$13="",$A$14="x"),$K$30*11/100,""))</f>
        <v>0</v>
      </c>
      <c r="N30" s="131"/>
      <c r="O30" s="132"/>
    </row>
    <row r="31" spans="1:15" ht="14.25">
      <c r="A31" s="20" t="s">
        <v>14</v>
      </c>
      <c r="B31" s="21"/>
      <c r="C31" s="84" t="str">
        <f>IF(ISBLANK(J$19),"juin",(_XLL.MOIS.DECALER(C30,1)))</f>
        <v>juin</v>
      </c>
      <c r="D31" s="80"/>
      <c r="E31" s="87">
        <v>0</v>
      </c>
      <c r="F31" s="219"/>
      <c r="G31" s="220"/>
      <c r="H31" s="19"/>
      <c r="I31" s="51"/>
      <c r="J31" s="212">
        <f>IF(AND($A$13="x",$A$14=""),$I$31*11/100,IF(AND($A$13="",$A$14="x"),(($I$31/1.1)*11%),""))</f>
        <v>0</v>
      </c>
      <c r="K31" s="23"/>
      <c r="L31" s="22">
        <f>IF(AND($A$13="x",$A$14=""),$K$31*11/100,"")</f>
      </c>
      <c r="M31" s="24">
        <f>IF(AND($A$13="x",$A$14=""),($I$31+$K$31)/10,IF(AND($A$13="",$A$14="x"),$K$31*11/100,""))</f>
        <v>0</v>
      </c>
      <c r="N31" s="121" t="s">
        <v>67</v>
      </c>
      <c r="O31" s="119">
        <f>IF(P32&lt;=0,0,(total_cp_acquis-valeur_cp_pris)+(valeur_cp_pris-O32))</f>
        <v>0</v>
      </c>
    </row>
    <row r="32" spans="1:16" ht="14.25">
      <c r="A32" s="20" t="s">
        <v>13</v>
      </c>
      <c r="B32" s="21"/>
      <c r="C32" s="84" t="str">
        <f>IF(ISBLANK(J$19),"juillet",(_XLL.MOIS.DECALER(C31,1)))</f>
        <v>juillet</v>
      </c>
      <c r="D32" s="80"/>
      <c r="E32" s="87">
        <v>0</v>
      </c>
      <c r="F32" s="219"/>
      <c r="G32" s="220"/>
      <c r="H32" s="19"/>
      <c r="I32" s="51"/>
      <c r="J32" s="212">
        <f>IF(AND($A$13="x",$A$14=""),$I$32*11/100,IF(AND($A$13="",$A$14="x"),(($I$32/1.1)*11%),""))</f>
        <v>0</v>
      </c>
      <c r="K32" s="23"/>
      <c r="L32" s="22">
        <f>IF(AND($A$13="x",$A$14=""),$K$32*11/100,"")</f>
      </c>
      <c r="M32" s="24">
        <f>IF(AND($A$13="x",$A$14=""),($I$32+$K$32)/10,IF(AND($A$13="",$A$14="x"),$K$32*11/100,""))</f>
        <v>0</v>
      </c>
      <c r="N32" s="122" t="s">
        <v>66</v>
      </c>
      <c r="O32" s="120">
        <f>IF(total_cp_10_cent&gt;K40,total_cp_10_cent,K40)</f>
        <v>0</v>
      </c>
      <c r="P32" s="103">
        <f>(total_cp_acquis-valeur_cp_pris)+(valeur_cp_pris-total_cp_10_cent)</f>
        <v>0</v>
      </c>
    </row>
    <row r="33" spans="1:15" ht="15.75">
      <c r="A33" s="20" t="s">
        <v>12</v>
      </c>
      <c r="B33" s="21"/>
      <c r="C33" s="84" t="str">
        <f>IF(ISBLANK(J$19),"aout",(_XLL.MOIS.DECALER(C32,1)))</f>
        <v>aout</v>
      </c>
      <c r="D33" s="80"/>
      <c r="E33" s="87">
        <v>0</v>
      </c>
      <c r="F33" s="219"/>
      <c r="G33" s="220"/>
      <c r="H33" s="19"/>
      <c r="I33" s="51"/>
      <c r="J33" s="212">
        <f>IF(AND($A$13="x",$A$14=""),$I$33*11/100,IF(AND($A$13="",$A$14="x"),(($I$33/1.1)*11%),""))</f>
        <v>0</v>
      </c>
      <c r="K33" s="23"/>
      <c r="L33" s="22">
        <f>IF(AND($A$13="x",$A$14=""),$K$33*11/100,"")</f>
      </c>
      <c r="M33" s="24">
        <f>IF(AND($A$13="x",$A$14=""),($I$33+$K$33)/10,IF(AND($A$13="",$A$14="x"),$K$33*11/100,""))</f>
        <v>0</v>
      </c>
      <c r="N33" s="133" t="s">
        <v>45</v>
      </c>
      <c r="O33" s="28" t="s">
        <v>2</v>
      </c>
    </row>
    <row r="34" spans="1:15" ht="14.25">
      <c r="A34" s="20" t="s">
        <v>11</v>
      </c>
      <c r="B34" s="21"/>
      <c r="C34" s="84" t="str">
        <f>IF(ISBLANK(J$19),"septembre",(_XLL.MOIS.DECALER(C33,1)))</f>
        <v>septembre</v>
      </c>
      <c r="D34" s="80"/>
      <c r="E34" s="87">
        <v>0</v>
      </c>
      <c r="F34" s="219"/>
      <c r="G34" s="220"/>
      <c r="H34" s="19"/>
      <c r="I34" s="51"/>
      <c r="J34" s="212">
        <f>IF(AND($A$13="x",$A$14=""),$I$34*11/100,IF(AND($A$13="",$A$14="x"),(($I$34/1.1)*11%),""))</f>
        <v>0</v>
      </c>
      <c r="K34" s="23"/>
      <c r="L34" s="22">
        <f>IF(AND($A$13="x",$A$14=""),$K$34*11/100,"")</f>
      </c>
      <c r="M34" s="24">
        <f>IF(AND($A$13="x",$A$14=""),($I$34+$K$34)/10,IF(AND($A$13="",$A$14="x"),$K$34*11/100,""))</f>
        <v>0</v>
      </c>
      <c r="N34" s="134"/>
      <c r="O34" s="135"/>
    </row>
    <row r="35" spans="1:16" ht="14.25" customHeight="1">
      <c r="A35" s="20" t="s">
        <v>8</v>
      </c>
      <c r="B35" s="21"/>
      <c r="C35" s="84" t="str">
        <f>IF(ISBLANK(J$19),"octobre",(_XLL.MOIS.DECALER(C34,1)))</f>
        <v>octobre</v>
      </c>
      <c r="D35" s="80"/>
      <c r="E35" s="87">
        <v>0</v>
      </c>
      <c r="F35" s="219"/>
      <c r="G35" s="220"/>
      <c r="H35" s="19"/>
      <c r="I35" s="51"/>
      <c r="J35" s="212">
        <f>IF(AND($A$13="x",$A$14=""),$I$35*11/100,IF(AND($A$13="",$A$14="x"),(($I$35/1.1)*11%),""))</f>
        <v>0</v>
      </c>
      <c r="K35" s="23"/>
      <c r="L35" s="22">
        <f>IF(AND($A$13="x",$A$14=""),$K$35*11/100,"")</f>
      </c>
      <c r="M35" s="24">
        <f>IF(AND($A$13="x",$A$14=""),($I$35+$K$35)/10,IF(AND($A$13="",$A$14="x"),$K$35*11/100,""))</f>
        <v>0</v>
      </c>
      <c r="N35" s="136"/>
      <c r="O35" s="137"/>
      <c r="P35" s="104"/>
    </row>
    <row r="36" spans="1:16" ht="15">
      <c r="A36" s="20" t="s">
        <v>9</v>
      </c>
      <c r="B36" s="21"/>
      <c r="C36" s="84" t="str">
        <f>IF(ISBLANK(J$19),"novembre",(_XLL.MOIS.DECALER(C35,1)))</f>
        <v>novembre</v>
      </c>
      <c r="D36" s="80"/>
      <c r="E36" s="87">
        <v>0</v>
      </c>
      <c r="F36" s="219"/>
      <c r="G36" s="220"/>
      <c r="H36" s="19"/>
      <c r="I36" s="51"/>
      <c r="J36" s="212">
        <f>IF(AND($A$13="x",$A$14=""),$I$36*11/100,IF(AND($A$13="",$A$14="x"),(($I$36/1.1)*11%),""))</f>
        <v>0</v>
      </c>
      <c r="K36" s="23"/>
      <c r="L36" s="22">
        <f>IF(AND($A$13="x",$A$14=""),$K$36*11/100,"")</f>
      </c>
      <c r="M36" s="24">
        <f>IF(AND($A$13="x",$A$14=""),($I$36+$K$36)/10,IF(AND($A$13="",$A$14="x"),$K$36*11/100,""))</f>
        <v>0</v>
      </c>
      <c r="N36" s="235" t="s">
        <v>43</v>
      </c>
      <c r="O36" s="236"/>
      <c r="P36" s="102"/>
    </row>
    <row r="37" spans="1:15" ht="14.25">
      <c r="A37" s="30" t="s">
        <v>10</v>
      </c>
      <c r="B37" s="31"/>
      <c r="C37" s="84" t="str">
        <f>IF(ISBLANK(J$19),"décembre",(_XLL.MOIS.DECALER(C36,1)))</f>
        <v>décembre</v>
      </c>
      <c r="D37" s="85"/>
      <c r="E37" s="88">
        <v>0</v>
      </c>
      <c r="F37" s="219"/>
      <c r="G37" s="220"/>
      <c r="H37" s="19"/>
      <c r="I37" s="51"/>
      <c r="J37" s="212">
        <f>IF(AND($A$13="x",$A$14=""),$I$37*11/100,IF(AND($A$13="",$A$14="x"),(($I$37/1.1)*11%),""))</f>
        <v>0</v>
      </c>
      <c r="K37" s="33"/>
      <c r="L37" s="22">
        <f>IF(AND($A$13="x",$A$14=""),$K$37*11/100,"")</f>
      </c>
      <c r="M37" s="24">
        <f>IF(AND($A$13="x",$A$14=""),($I$37+$K$37)/10,IF(AND($A$13="",$A$14="x"),$K$37*11/100,""))</f>
        <v>0</v>
      </c>
      <c r="N37" s="235" t="s">
        <v>44</v>
      </c>
      <c r="O37" s="236"/>
    </row>
    <row r="38" spans="1:16" ht="15" customHeight="1">
      <c r="A38" s="287" t="str">
        <f>IF(AND(A13="x",A14=""),"Régularisation Congés payés fin d'année de référence  (Autre formule 10% sur CP)",IF(AND(A13="",A14="x"),"Total des Cp inclus + total CP Hrs comp/sup (cellule I)",""))</f>
        <v>Total des Cp inclus + total CP Hrs comp/sup (cellule I)</v>
      </c>
      <c r="B38" s="288"/>
      <c r="C38" s="288"/>
      <c r="D38" s="288"/>
      <c r="E38" s="288"/>
      <c r="F38" s="288"/>
      <c r="G38" s="288"/>
      <c r="H38" s="288"/>
      <c r="I38" s="288"/>
      <c r="J38" s="72">
        <f>IF(AND($A$13="x",$A$14=""),"",IF(AND($A$13="",$A$14="x"),($J$26+$J$27+$J$28+$J$29+$J$30+$J$31+$J$32+$J$33+$J$34+$J$35+$J$36+$J$37),""))</f>
        <v>0</v>
      </c>
      <c r="K38" s="34" t="str">
        <f>IF(AND($A$13="x",$A$14=""),"",IF(AND($A$13="",$A$14="x"),"Total CP= Hrs Comp/Supp",""))</f>
        <v>Total CP= Hrs Comp/Supp</v>
      </c>
      <c r="L38" s="191"/>
      <c r="M38" s="35">
        <f>IF(AND($A$13="x",$A$14=""),($M$26+$M$27+$M$28+$M$29+$M$30+$M$31+$M$32+$M$33+$M$34+$M$35+$M$36+$M$37)/10,IF(AND($A$13="",$A$14="x"),$M$26+$M$27+$M$28+$M$29+$M$30+$M$31+$M$32+$M$33+$M$34+$M$35+$M$36+$M$37,""))</f>
        <v>0</v>
      </c>
      <c r="N38" s="280" t="s">
        <v>68</v>
      </c>
      <c r="O38" s="300">
        <f>IF(AND(O33="oui",valeur_cp_non_pris&gt;0),O31,IF(AND(O33="non",valeur_cp_non_pris&lt;0),O31,valeur_cp_non_pris+O31))+IF(AND(valeur_cp_non_pris&lt;0,O33="oui"),O31,0)</f>
        <v>0</v>
      </c>
      <c r="P38" s="293"/>
    </row>
    <row r="39" spans="1:16" ht="15" customHeight="1">
      <c r="A39" s="256" t="s">
        <v>55</v>
      </c>
      <c r="B39" s="257"/>
      <c r="C39" s="257"/>
      <c r="D39" s="258"/>
      <c r="E39" s="171">
        <f>'Explication déduction CP'!E26</f>
        <v>0</v>
      </c>
      <c r="G39" s="124"/>
      <c r="N39" s="280"/>
      <c r="O39" s="300"/>
      <c r="P39" s="293"/>
    </row>
    <row r="40" spans="1:16" ht="14.25" customHeight="1">
      <c r="A40" s="166" t="s">
        <v>21</v>
      </c>
      <c r="B40" s="167"/>
      <c r="C40" s="176">
        <f>SUM(E26:E37)</f>
        <v>0</v>
      </c>
      <c r="D40" s="176">
        <f>ROUNDUP(IF(C40&gt;29,30,IF(C40&gt;30,30,C40)),0)</f>
        <v>0</v>
      </c>
      <c r="E40" s="172">
        <f>IF(ISBLANK(E39),(ROUNDUP(D40,2)),(ROUNDUP((D40-E39),0)))</f>
        <v>0</v>
      </c>
      <c r="F40" s="173">
        <f>SUM(F26:G37)</f>
        <v>0</v>
      </c>
      <c r="G40" s="174" t="s">
        <v>69</v>
      </c>
      <c r="H40" s="38" t="str">
        <f>G40</f>
        <v>CP pris</v>
      </c>
      <c r="I40" s="264" t="s">
        <v>37</v>
      </c>
      <c r="J40" s="324">
        <f>IF(AND($A$13="x",$A$14=""),($J$26+$J$27+$J$28+$J$29+$J$30+$J$31+$J$32+$J$33+$J$34+$J$35+$J$36+$J$37+$L$26+$L$27+$L$28+$L$29+$L$30+$L$31+$L$32+$L$33+$L$34+$L$35+$L$36+$L$37),IF(AND($A$13="",$A$14="x"),ROUNDUP($J$38+$M$38,2),""))</f>
        <v>0</v>
      </c>
      <c r="K40" s="249"/>
      <c r="M40" s="283">
        <f>IF(AND(A13="x",A14=""),($M$26+$M$27+$M$28+$M$29+$M$30+$M$31+$M$32+$M$33+$M$34+$M$35+M36+M37+M38),IF(AND(A13="",A14="x"),"",""))</f>
      </c>
      <c r="N40" s="280"/>
      <c r="O40" s="294">
        <f>IF(AND(F$41&lt;0,O33="oui"),"Report sur l'année suivante",IF(AND(F$41&lt;0,O33="non"),-valeur_cp_non_pris,""))</f>
      </c>
      <c r="P40" s="293"/>
    </row>
    <row r="41" spans="1:16" ht="14.25">
      <c r="A41" s="245" t="s">
        <v>63</v>
      </c>
      <c r="B41" s="246"/>
      <c r="C41" s="97">
        <v>0</v>
      </c>
      <c r="D41" s="39">
        <v>0</v>
      </c>
      <c r="E41" s="40">
        <f>IF(AND($G$22="oui"),0,IF(IF($E$40=30,30,IF($E$40&gt;30,30,$E$40)),$C$41*$D$41,0))</f>
        <v>0</v>
      </c>
      <c r="F41" s="152">
        <f>E43-F40</f>
        <v>0</v>
      </c>
      <c r="G41" s="150" t="str">
        <f>IF(F41&lt;0,"CP-NON-acquis","Reste à prendre")</f>
        <v>Reste à prendre</v>
      </c>
      <c r="H41" s="19">
        <f>IF(AND($A$13="x",$A$14=""),(((J26+J27+J28+J29+J30+J31+J32+J33+J34+J35+J36+J37)/10)+(J26+J27+J28+J29+J30+J31+J32+J33+J34+J35+J36+J37)),IF(AND($A$13="",$A$14="x"),(J26+J27+J28+J29+J30+J31+J32+J33+J34+J35+J36+J37),""))</f>
        <v>0</v>
      </c>
      <c r="I41" s="264"/>
      <c r="J41" s="324"/>
      <c r="K41" s="249"/>
      <c r="M41" s="284"/>
      <c r="N41" s="308">
        <f>IF(AND($F$41&lt;0,valeur_cp_non_pris&lt;0,O33="non"),"Remboursement trop perçu à l'employeur (régularisation plus favorable reste due) ","")</f>
      </c>
      <c r="O41" s="294"/>
      <c r="P41" s="293"/>
    </row>
    <row r="42" spans="1:16" ht="14.25">
      <c r="A42" s="168" t="s">
        <v>7</v>
      </c>
      <c r="B42" s="169"/>
      <c r="C42" s="170"/>
      <c r="D42" s="170"/>
      <c r="E42" s="77"/>
      <c r="H42" s="19"/>
      <c r="I42" s="41"/>
      <c r="J42" s="98"/>
      <c r="K42" s="98"/>
      <c r="L42" s="98"/>
      <c r="M42" s="98"/>
      <c r="N42" s="309"/>
      <c r="O42" s="295"/>
      <c r="P42" s="105"/>
    </row>
    <row r="43" spans="1:16" ht="14.25">
      <c r="A43" s="226" t="str">
        <f>IF($J$14="oui","Total jrs ouvrables acquis + report des 3 années ","Total jours ouvrables acquis")</f>
        <v>Total jours ouvrables acquis</v>
      </c>
      <c r="B43" s="227"/>
      <c r="C43" s="227"/>
      <c r="D43" s="228"/>
      <c r="E43" s="175">
        <f>IF($E$40+$E$41&lt;30,($E$40+$E$41),(30))+$E$42+IF(J14="oui",E25,0)</f>
        <v>0</v>
      </c>
      <c r="H43" s="19"/>
      <c r="I43" s="282" t="s">
        <v>64</v>
      </c>
      <c r="J43" s="282"/>
      <c r="K43" s="282"/>
      <c r="L43" s="282"/>
      <c r="M43" s="282"/>
      <c r="N43" s="282"/>
      <c r="O43" s="282"/>
      <c r="P43" s="106"/>
    </row>
    <row r="44" spans="9:16" ht="7.5" customHeight="1">
      <c r="I44" s="1"/>
      <c r="J44" s="5"/>
      <c r="K44" s="1"/>
      <c r="L44" s="1"/>
      <c r="M44" s="1"/>
      <c r="N44" s="1"/>
      <c r="O44" s="1"/>
      <c r="P44" s="102"/>
    </row>
    <row r="45" spans="1:16" ht="5.25" customHeight="1">
      <c r="A45" s="12"/>
      <c r="B45" s="12"/>
      <c r="C45" s="12"/>
      <c r="D45" s="12"/>
      <c r="E45" s="12"/>
      <c r="F45" s="12"/>
      <c r="G45" s="13"/>
      <c r="I45" s="1"/>
      <c r="J45" s="1"/>
      <c r="K45" s="1"/>
      <c r="L45" s="1"/>
      <c r="M45" s="1"/>
      <c r="N45" s="1"/>
      <c r="O45" s="1"/>
      <c r="P45" s="107"/>
    </row>
    <row r="46" spans="1:15" ht="18.75" customHeight="1">
      <c r="A46" s="238" t="s">
        <v>28</v>
      </c>
      <c r="B46" s="239"/>
      <c r="C46" s="239"/>
      <c r="D46" s="239"/>
      <c r="E46" s="239"/>
      <c r="F46" s="239"/>
      <c r="G46" s="240"/>
      <c r="H46" s="19"/>
      <c r="J46" s="42"/>
      <c r="K46" s="160" t="s">
        <v>20</v>
      </c>
      <c r="L46" s="42"/>
      <c r="M46" s="140"/>
      <c r="O46" s="19"/>
    </row>
    <row r="47" spans="1:15" ht="6.75" customHeight="1">
      <c r="A47" s="43"/>
      <c r="B47" s="43"/>
      <c r="C47" s="43"/>
      <c r="D47" s="43"/>
      <c r="E47" s="43"/>
      <c r="F47" s="43"/>
      <c r="G47" s="43"/>
      <c r="H47" s="19"/>
      <c r="I47" s="19"/>
      <c r="J47" s="19"/>
      <c r="K47" s="19"/>
      <c r="L47" s="19"/>
      <c r="M47" s="19"/>
      <c r="N47" s="19"/>
      <c r="O47" s="19"/>
    </row>
    <row r="48" spans="1:15" ht="21" customHeight="1">
      <c r="A48" s="304" t="s">
        <v>35</v>
      </c>
      <c r="B48" s="305"/>
      <c r="C48" s="305"/>
      <c r="D48" s="305"/>
      <c r="E48" s="305"/>
      <c r="F48" s="305"/>
      <c r="G48" s="306"/>
      <c r="H48" s="19"/>
      <c r="I48" s="267" t="s">
        <v>36</v>
      </c>
      <c r="J48" s="268"/>
      <c r="K48" s="268"/>
      <c r="L48" s="268"/>
      <c r="M48" s="268"/>
      <c r="N48" s="268"/>
      <c r="O48" s="269"/>
    </row>
    <row r="49" spans="1:15" ht="18.75" customHeight="1" hidden="1">
      <c r="A49" s="19"/>
      <c r="B49" s="19"/>
      <c r="C49" s="19"/>
      <c r="D49" s="19"/>
      <c r="E49" s="19"/>
      <c r="F49" s="19"/>
      <c r="G49" s="19"/>
      <c r="H49" s="19"/>
      <c r="I49" s="19"/>
      <c r="J49" s="44">
        <f>SUMPRODUCT(J54:J66)</f>
        <v>0</v>
      </c>
      <c r="K49" s="19"/>
      <c r="L49" s="45" t="e">
        <f>(((L54+L55+L56+L57+L58+L59+L60+L61+L62+L63+L64+L65+L66)/10)+(L54+L55+L56+L57+L58+L59+L60+L61+L62+L63+L64+L65+L66))</f>
        <v>#VALUE!</v>
      </c>
      <c r="M49" s="144"/>
      <c r="N49" s="19"/>
      <c r="O49" s="19"/>
    </row>
    <row r="50" spans="1:15" ht="2.25" customHeight="1">
      <c r="A50" s="43"/>
      <c r="B50" s="43"/>
      <c r="C50" s="43"/>
      <c r="D50" s="43"/>
      <c r="E50" s="43"/>
      <c r="F50" s="43"/>
      <c r="G50" s="43"/>
      <c r="H50" s="19"/>
      <c r="I50" s="19"/>
      <c r="J50" s="44"/>
      <c r="K50" s="19"/>
      <c r="L50" s="46"/>
      <c r="M50" s="46"/>
      <c r="N50" s="19"/>
      <c r="O50" s="19"/>
    </row>
    <row r="51" spans="1:16" ht="20.25" customHeight="1">
      <c r="A51" s="254" t="s">
        <v>24</v>
      </c>
      <c r="B51" s="255"/>
      <c r="C51" s="255"/>
      <c r="D51" s="255"/>
      <c r="E51" s="255"/>
      <c r="F51" s="109"/>
      <c r="G51" s="18" t="s">
        <v>2</v>
      </c>
      <c r="H51" s="19"/>
      <c r="I51" s="231" t="s">
        <v>34</v>
      </c>
      <c r="J51" s="232"/>
      <c r="K51" s="232"/>
      <c r="L51" s="233"/>
      <c r="M51" s="141"/>
      <c r="N51" s="310" t="s">
        <v>33</v>
      </c>
      <c r="O51" s="273"/>
      <c r="P51" s="102"/>
    </row>
    <row r="52" spans="1:16" ht="17.25" customHeight="1">
      <c r="A52" s="290" t="s">
        <v>1</v>
      </c>
      <c r="B52" s="290"/>
      <c r="C52" s="290"/>
      <c r="D52" s="290"/>
      <c r="E52" s="290"/>
      <c r="F52" s="241" t="s">
        <v>0</v>
      </c>
      <c r="G52" s="242"/>
      <c r="H52" s="19"/>
      <c r="I52" s="237" t="str">
        <f>IF(AND(A13="x",A14=""),"Salaires BRUT versés /mois Hors Heures comp/supp",IF(AND(A13="",A14="x"),"Salaires BRUT mensualisés",""))</f>
        <v>Salaires BRUT mensualisés</v>
      </c>
      <c r="J52" s="247" t="str">
        <f>IF(AND(A13="x",A14=""),"1ère formule de Calcul (Sur salaire Brut): 11%",IF(AND(A13="",A14="x"),"Dont les congés payés inclus",""))</f>
        <v>Dont les congés payés inclus</v>
      </c>
      <c r="K52" s="247" t="str">
        <f>IF(AND(A13="x",A14=""),"Heures comp/supp-Indiquer le montant du salaire BRUT correspondant uniquement aux Heures complet/ou suppl versées/mois",IF(AND(A13="",A14="x"),"Heures comp/supp-Indiquer le montant du salaire BRUT correspondant uniquement aux Heures complet/ou suppl versées/mois",""))</f>
        <v>Heures comp/supp-Indiquer le montant du salaire BRUT correspondant uniquement aux Heures complet/ou suppl versées/mois</v>
      </c>
      <c r="L52" s="247">
        <f>IF(AND(A13="x",A14=""),"1ère formule de Calcul (Sur les heures comp/supp): 11%",IF(AND(A13="",A14="x"),"",""))</f>
      </c>
      <c r="M52" s="215" t="str">
        <f>IF(AND(A13="x",A14=""),"Autre formule de calcul",IF(AND(A13="",A14="x"),"Montant Congés à percevoir heures comp ou supp  à 11%",""))</f>
        <v>Montant Congés à percevoir heures comp ou supp  à 11%</v>
      </c>
      <c r="N52" s="270" t="s">
        <v>26</v>
      </c>
      <c r="O52" s="271"/>
      <c r="P52" s="102"/>
    </row>
    <row r="53" spans="1:15" ht="80.25" customHeight="1">
      <c r="A53" s="290"/>
      <c r="B53" s="290"/>
      <c r="C53" s="290"/>
      <c r="D53" s="290"/>
      <c r="E53" s="290"/>
      <c r="F53" s="243"/>
      <c r="G53" s="244"/>
      <c r="H53" s="19"/>
      <c r="I53" s="237"/>
      <c r="J53" s="248"/>
      <c r="K53" s="248"/>
      <c r="L53" s="248"/>
      <c r="M53" s="216"/>
      <c r="N53" s="270"/>
      <c r="O53" s="271"/>
    </row>
    <row r="54" spans="1:16" ht="16.5" customHeight="1">
      <c r="A54" s="301" t="str">
        <f>IF($O$33="OUI","Report année précédente","")</f>
        <v>Report année précédente</v>
      </c>
      <c r="B54" s="302"/>
      <c r="C54" s="302"/>
      <c r="D54" s="163"/>
      <c r="E54" s="47">
        <f>IF($O$33="OUI",$F$41,0)</f>
        <v>0</v>
      </c>
      <c r="F54" s="291"/>
      <c r="G54" s="292"/>
      <c r="H54" s="19"/>
      <c r="I54" s="165"/>
      <c r="J54" s="48"/>
      <c r="K54" s="48"/>
      <c r="L54" s="49"/>
      <c r="M54" s="145"/>
      <c r="N54" s="153" t="s">
        <v>5</v>
      </c>
      <c r="O54" s="112"/>
      <c r="P54" s="102"/>
    </row>
    <row r="55" spans="1:15" ht="15.75" customHeight="1">
      <c r="A55" s="36" t="s">
        <v>19</v>
      </c>
      <c r="B55" s="37"/>
      <c r="C55" s="164" t="str">
        <f>IF(ISBLANK(J46),"janvier",J46)</f>
        <v>janvier</v>
      </c>
      <c r="D55" s="50"/>
      <c r="E55" s="162">
        <v>0</v>
      </c>
      <c r="F55" s="219"/>
      <c r="G55" s="220"/>
      <c r="H55" s="19"/>
      <c r="I55" s="51"/>
      <c r="J55" s="22">
        <f>IF(AND($A$13="x",$A$14=""),$I$55*11/100,IF(AND($A$13="",$A$14="x"),(($I$55/1.1)*11%),""))</f>
        <v>0</v>
      </c>
      <c r="K55" s="187"/>
      <c r="L55" s="52">
        <f>IF(AND($A$13="x",$A$14=""),$K$55*11/100,"")</f>
      </c>
      <c r="M55" s="146">
        <f>IF(AND($A$13="x",$A$14=""),($I$55+$K$55)/10,IF(AND($A$13="",$A$14="x"),$K$55*11/100,""))</f>
        <v>0</v>
      </c>
      <c r="N55" s="154" t="s">
        <v>6</v>
      </c>
      <c r="O55" s="25">
        <f>ROUNDUP(O54/26,2)</f>
        <v>0</v>
      </c>
    </row>
    <row r="56" spans="1:16" ht="14.25" customHeight="1">
      <c r="A56" s="20" t="s">
        <v>18</v>
      </c>
      <c r="B56" s="21"/>
      <c r="C56" s="84" t="str">
        <f>IF(ISBLANK(J46),"février",(_XLL.MOIS.DECALER(C55,1)))</f>
        <v>février</v>
      </c>
      <c r="D56" s="50"/>
      <c r="E56" s="87">
        <v>0</v>
      </c>
      <c r="F56" s="219"/>
      <c r="G56" s="220"/>
      <c r="H56" s="19"/>
      <c r="I56" s="51"/>
      <c r="J56" s="22">
        <f>IF(AND($A$13="x",$A$14=""),$I$56*11/100,IF(AND($A$13="",$A$14="x"),(($I$56/1.1)*11%),""))</f>
        <v>0</v>
      </c>
      <c r="K56" s="187"/>
      <c r="L56" s="52">
        <f>IF(AND($A$13="x",$A$14=""),$K$56*11/100,"")</f>
      </c>
      <c r="M56" s="146">
        <f>IF(AND($A$13="x",$A$14=""),($I$56+$K$56)/10,IF(AND($A$13="",$A$14="x"),$K$56*11/100,""))</f>
        <v>0</v>
      </c>
      <c r="N56" s="155" t="s">
        <v>41</v>
      </c>
      <c r="O56" s="115">
        <f>F70*O55</f>
        <v>0</v>
      </c>
      <c r="P56" s="99">
        <f>IF(AND(valeur_cp_non_prisb&lt;0,O62="oui"),-valeur_cp_non_prisb,0)</f>
        <v>0</v>
      </c>
    </row>
    <row r="57" spans="1:15" ht="15.75">
      <c r="A57" s="20" t="s">
        <v>17</v>
      </c>
      <c r="B57" s="21"/>
      <c r="C57" s="84" t="str">
        <f>IF(ISBLANK(J46),"mars",(_XLL.MOIS.DECALER(C56,1)))</f>
        <v>mars</v>
      </c>
      <c r="D57" s="50"/>
      <c r="E57" s="87">
        <v>0</v>
      </c>
      <c r="F57" s="219"/>
      <c r="G57" s="220"/>
      <c r="H57" s="19"/>
      <c r="I57" s="51"/>
      <c r="J57" s="22">
        <f>IF(AND($A$13="x",$A$14=""),$I$57*11/100,IF(AND($A$13="",$A$14="x"),(($I$57/1.1)*11%),""))</f>
        <v>0</v>
      </c>
      <c r="K57" s="187"/>
      <c r="L57" s="52">
        <f>IF(AND($A$13="x",$A$14=""),$K$57*11/100,"")</f>
      </c>
      <c r="M57" s="146">
        <f>IF(AND($A$13="x",$A$14=""),($I$57+$K$57)/10,IF(AND($A$13="",$A$14="x"),$K$57*11/100,""))</f>
        <v>0</v>
      </c>
      <c r="N57" s="156" t="s">
        <v>65</v>
      </c>
      <c r="O57" s="117">
        <f>(E72-E54)*O55</f>
        <v>0</v>
      </c>
    </row>
    <row r="58" spans="1:15" ht="14.25">
      <c r="A58" s="20" t="s">
        <v>16</v>
      </c>
      <c r="B58" s="21"/>
      <c r="C58" s="84" t="str">
        <f>IF(ISBLANK(J46),"avril",(_XLL.MOIS.DECALER(C57,1)))</f>
        <v>avril</v>
      </c>
      <c r="D58" s="50"/>
      <c r="E58" s="87">
        <v>0</v>
      </c>
      <c r="F58" s="219"/>
      <c r="G58" s="220"/>
      <c r="H58" s="19"/>
      <c r="I58" s="51"/>
      <c r="J58" s="22">
        <f>IF(AND($A$13="x",$A$14=""),$I$58*11/100,IF(AND($A$13="",$A$14="x"),(($I$58/1.1)*11%),""))</f>
        <v>0</v>
      </c>
      <c r="K58" s="187"/>
      <c r="L58" s="52">
        <f>IF(AND($A$13="x",$A$14=""),$K$58*11/100,"")</f>
      </c>
      <c r="M58" s="146">
        <f>IF(AND($A$13="x",$A$14=""),($I$58+$K$58)/10,IF(AND($A$13="",$A$14="x"),$K$58*11/100,""))</f>
        <v>0</v>
      </c>
      <c r="N58" s="157" t="s">
        <v>40</v>
      </c>
      <c r="O58" s="26">
        <f>F69*O55</f>
        <v>0</v>
      </c>
    </row>
    <row r="59" spans="1:15" ht="14.25">
      <c r="A59" s="20" t="s">
        <v>15</v>
      </c>
      <c r="B59" s="21"/>
      <c r="C59" s="84" t="str">
        <f>IF(ISBLANK(J46),"mai",(_XLL.MOIS.DECALER(C58,1)))</f>
        <v>mai</v>
      </c>
      <c r="D59" s="50"/>
      <c r="E59" s="87">
        <v>0</v>
      </c>
      <c r="F59" s="219"/>
      <c r="G59" s="220"/>
      <c r="H59" s="19"/>
      <c r="I59" s="51"/>
      <c r="J59" s="22">
        <f>IF(AND($A$13="x",$A$14=""),$I$59*11/100,IF(AND($A$13="",$A$14="x"),(($I$59/1.1)*11%),""))</f>
        <v>0</v>
      </c>
      <c r="K59" s="187"/>
      <c r="L59" s="52">
        <f>IF(AND($A$13="x",$A$14=""),$K$59*11/100,"")</f>
      </c>
      <c r="M59" s="146">
        <f>IF(AND($A$13="x",$A$14=""),($I$59+$K$59)/10,IF(AND($A$13="",$A$14="x"),$K$59*11/100,""))</f>
        <v>0</v>
      </c>
      <c r="N59" s="298"/>
      <c r="O59" s="299"/>
    </row>
    <row r="60" spans="1:16" ht="14.25">
      <c r="A60" s="20" t="s">
        <v>14</v>
      </c>
      <c r="B60" s="21"/>
      <c r="C60" s="84" t="str">
        <f>IF(ISBLANK(J46),"juin",(_XLL.MOIS.DECALER(C59,1)))</f>
        <v>juin</v>
      </c>
      <c r="D60" s="50"/>
      <c r="E60" s="87">
        <v>0</v>
      </c>
      <c r="F60" s="219"/>
      <c r="G60" s="220"/>
      <c r="H60" s="19"/>
      <c r="I60" s="51"/>
      <c r="J60" s="22">
        <f>IF(AND($A$13="x",$A$14=""),$I$60*11/100,IF(AND($A$13="",$A$14="x"),(($I$60/1.1)*11%),""))</f>
        <v>0</v>
      </c>
      <c r="K60" s="187"/>
      <c r="L60" s="52">
        <f>IF(AND($A$13="x",$A$14=""),$K$60*11/100,"")</f>
      </c>
      <c r="M60" s="146">
        <f>IF(AND($A$13="x",$A$14=""),($I$60+$K$60)/10,IF(AND($A$13="",$A$14="x"),$K$60*11/100,""))</f>
        <v>0</v>
      </c>
      <c r="N60" s="158" t="s">
        <v>67</v>
      </c>
      <c r="O60" s="119">
        <f>IF(P60&lt;=0,0,(total_cp_acquisb-valeur_cp_prisb)+(valeur_cp_prisb-O61))</f>
        <v>0</v>
      </c>
      <c r="P60" s="103">
        <f>(total_cp_acquisb-valeur_cp_prisb)+(valeur_cp_prisb-total_cp_10_centb)</f>
        <v>0</v>
      </c>
    </row>
    <row r="61" spans="1:15" ht="14.25">
      <c r="A61" s="20" t="s">
        <v>13</v>
      </c>
      <c r="B61" s="21"/>
      <c r="C61" s="84" t="str">
        <f>IF(ISBLANK(J46),"juillet",(_XLL.MOIS.DECALER(C60,1)))</f>
        <v>juillet</v>
      </c>
      <c r="D61" s="50"/>
      <c r="E61" s="87">
        <v>0</v>
      </c>
      <c r="F61" s="219"/>
      <c r="G61" s="220"/>
      <c r="H61" s="19"/>
      <c r="I61" s="51"/>
      <c r="J61" s="22">
        <f>IF(AND($A$13="x",$A$14=""),$I$61*11/100,IF(AND($A$13="",$A$14="x"),(($I$61/1.1)*11%),""))</f>
        <v>0</v>
      </c>
      <c r="K61" s="187"/>
      <c r="L61" s="52">
        <f>IF(AND($A$13="x",$A$14=""),$K$61*11/100,"")</f>
      </c>
      <c r="M61" s="146">
        <f>IF(AND($A$13="x",$A$14=""),($I$61+$K$61)/10,IF(AND($A$13="",$A$14="x"),$K$61*11/100,""))</f>
        <v>0</v>
      </c>
      <c r="N61" s="159" t="s">
        <v>66</v>
      </c>
      <c r="O61" s="120">
        <f>IF(total_cp_10_centb&gt;K68,total_cp_10_centb,K68)</f>
        <v>0</v>
      </c>
    </row>
    <row r="62" spans="1:15" ht="15.75">
      <c r="A62" s="20" t="s">
        <v>12</v>
      </c>
      <c r="B62" s="21"/>
      <c r="C62" s="84" t="str">
        <f>IF(ISBLANK(J46),"aout",(_XLL.MOIS.DECALER(C61,1)))</f>
        <v>aout</v>
      </c>
      <c r="D62" s="50"/>
      <c r="E62" s="87">
        <v>0</v>
      </c>
      <c r="F62" s="219"/>
      <c r="G62" s="220"/>
      <c r="H62" s="19"/>
      <c r="I62" s="51"/>
      <c r="J62" s="22">
        <f>IF(AND($A$13="x",$A$14=""),$I$62*11/100,IF(AND($A$13="",$A$14="x"),(($I$62/1.1)*11%),""))</f>
        <v>0</v>
      </c>
      <c r="K62" s="187"/>
      <c r="L62" s="52">
        <f>IF(AND($A$13="x",$A$14=""),$K$62*11/100,"")</f>
      </c>
      <c r="M62" s="146">
        <f>IF(AND($A$13="x",$A$14=""),($I$62+$K$62)/10,IF(AND($A$13="",$A$14="x"),$K$62*11/100,""))</f>
        <v>0</v>
      </c>
      <c r="N62" s="27" t="s">
        <v>45</v>
      </c>
      <c r="O62" s="28" t="s">
        <v>2</v>
      </c>
    </row>
    <row r="63" spans="1:16" ht="14.25">
      <c r="A63" s="20" t="s">
        <v>11</v>
      </c>
      <c r="B63" s="21"/>
      <c r="C63" s="84" t="str">
        <f>IF(ISBLANK(J46),"septembre",(_XLL.MOIS.DECALER(C62,1)))</f>
        <v>septembre</v>
      </c>
      <c r="D63" s="50"/>
      <c r="E63" s="87">
        <v>0</v>
      </c>
      <c r="F63" s="219"/>
      <c r="G63" s="220"/>
      <c r="H63" s="19"/>
      <c r="I63" s="51"/>
      <c r="J63" s="22">
        <f>IF(AND($A$13="x",$A$14=""),$I$63*11/100,IF(AND($A$13="",$A$14="x"),(($I$63/1.1)*11%),""))</f>
        <v>0</v>
      </c>
      <c r="K63" s="187"/>
      <c r="L63" s="52">
        <f>IF(AND($A$13="x",$A$14=""),$K$63*11/100,"")</f>
      </c>
      <c r="M63" s="146">
        <f>IF(AND($A$13="x",$A$14=""),($I$63+$K$63)/10,IF(AND($A$13="",$A$14="x"),$K$63*11/100,""))</f>
        <v>0</v>
      </c>
      <c r="N63" s="29"/>
      <c r="O63" s="137"/>
      <c r="P63" s="104"/>
    </row>
    <row r="64" spans="1:16" ht="15">
      <c r="A64" s="20" t="s">
        <v>8</v>
      </c>
      <c r="B64" s="21"/>
      <c r="C64" s="84" t="str">
        <f>IF(ISBLANK(J46),"octobre",(_XLL.MOIS.DECALER(C63,1)))</f>
        <v>octobre</v>
      </c>
      <c r="D64" s="50"/>
      <c r="E64" s="87">
        <v>0</v>
      </c>
      <c r="F64" s="219"/>
      <c r="G64" s="220"/>
      <c r="H64" s="19"/>
      <c r="I64" s="51"/>
      <c r="J64" s="22">
        <f>IF(AND($A$13="x",$A$14=""),$I$64*11/100,IF(AND($A$13="",$A$14="x"),(($I$64/1.1)*11%),""))</f>
        <v>0</v>
      </c>
      <c r="K64" s="187"/>
      <c r="L64" s="52">
        <f>IF(AND($A$13="x",$A$14=""),$K$64*11/100,"")</f>
      </c>
      <c r="M64" s="146">
        <f>IF(AND($A$13="x",$A$14=""),($I$64+$K$64)/10,IF(AND($A$13="",$A$14="x"),$K$64*11/100,""))</f>
        <v>0</v>
      </c>
      <c r="N64" s="307" t="s">
        <v>43</v>
      </c>
      <c r="O64" s="236"/>
      <c r="P64" s="102"/>
    </row>
    <row r="65" spans="1:15" ht="14.25">
      <c r="A65" s="20" t="s">
        <v>9</v>
      </c>
      <c r="B65" s="21"/>
      <c r="C65" s="84" t="str">
        <f>IF(ISBLANK(J46),"novembre",(_XLL.MOIS.DECALER(C64,1)))</f>
        <v>novembre</v>
      </c>
      <c r="D65" s="50"/>
      <c r="E65" s="87">
        <v>0</v>
      </c>
      <c r="F65" s="219"/>
      <c r="G65" s="220"/>
      <c r="H65" s="19"/>
      <c r="I65" s="51"/>
      <c r="J65" s="22">
        <f>IF(AND($A$13="x",$A$14=""),$I$65*11/100,IF(AND($A$13="",$A$14="x"),(($I$65/1.1)*11%),""))</f>
        <v>0</v>
      </c>
      <c r="K65" s="187"/>
      <c r="L65" s="52">
        <f>IF(AND($A$13="x",$A$14=""),$K$65*11/100,"")</f>
      </c>
      <c r="M65" s="146">
        <f>IF(AND($A$13="x",$A$14=""),($I$65+$K$65)/10,IF(AND($A$13="",$A$14="x"),$K$65*11/100,""))</f>
        <v>0</v>
      </c>
      <c r="N65" s="307" t="s">
        <v>44</v>
      </c>
      <c r="O65" s="236"/>
    </row>
    <row r="66" spans="1:16" ht="14.25" customHeight="1">
      <c r="A66" s="30" t="s">
        <v>10</v>
      </c>
      <c r="B66" s="31"/>
      <c r="C66" s="84" t="str">
        <f>IF(ISBLANK(J46),"décembre",(_XLL.MOIS.DECALER(C65,1)))</f>
        <v>décembre</v>
      </c>
      <c r="D66" s="81"/>
      <c r="E66" s="88">
        <v>0</v>
      </c>
      <c r="F66" s="219"/>
      <c r="G66" s="220"/>
      <c r="H66" s="19"/>
      <c r="I66" s="54"/>
      <c r="J66" s="32">
        <f>IF(AND($A$13="x",$A$14=""),$I$66*11/100,IF(AND($A$13="",$A$14="x"),(($I$66/1.1)*11%),""))</f>
        <v>0</v>
      </c>
      <c r="K66" s="189"/>
      <c r="L66" s="55">
        <f>IF(AND($A$13="x",$A$14=""),$K$66*11/100,"")</f>
      </c>
      <c r="M66" s="146">
        <f>IF(AND($A$13="x",$A$14=""),($I$66+$K$66)/10,IF(AND($A$13="",$A$14="x"),$K$66*11/100,""))</f>
        <v>0</v>
      </c>
      <c r="N66" s="280" t="s">
        <v>68</v>
      </c>
      <c r="O66" s="300">
        <f>IF(AND(O62="oui",valeur_cp_non_prisb&gt;0),O60,IF(AND(O62="non",valeur_cp_non_prisb&lt;0),O60,valeur_cp_non_prisb+O60))+IF(AND(valeur_cp_non_prisb&lt;0,O62="oui"),O60,0)</f>
        <v>0</v>
      </c>
      <c r="P66" s="293"/>
    </row>
    <row r="67" spans="1:16" ht="15" customHeight="1">
      <c r="A67" s="285" t="str">
        <f>IF(AND($A$13="x",$A$14=""),"Régularisation Congés payés fin d'année de référence  (Autre formule 10% sur CP)",IF(AND($A$13="",$A$14="x"),"Total des Cp inclus + total CP Hrs comp/sup (cellule I)",""))</f>
        <v>Total des Cp inclus + total CP Hrs comp/sup (cellule I)</v>
      </c>
      <c r="B67" s="286"/>
      <c r="C67" s="286"/>
      <c r="D67" s="286"/>
      <c r="E67" s="286"/>
      <c r="F67" s="286"/>
      <c r="G67" s="286"/>
      <c r="H67" s="286"/>
      <c r="I67" s="286"/>
      <c r="J67" s="73">
        <f>IF(AND($A$13="x",$A$14=""),"",IF(AND($A$13="",$A$14="x"),($J$55+$J$56+$J$57+$J$58+$J$59+$J$60+$J$61+$J$62+$J$63+$J$64+$J$65+$J$66),""))</f>
        <v>0</v>
      </c>
      <c r="K67" s="110" t="str">
        <f>IF(AND($A$13="x",$A$14=""),"",IF(AND($A$13="",$A$14="x"),"Total CP= Hrs Comp/Supp",""))</f>
        <v>Total CP= Hrs Comp/Supp</v>
      </c>
      <c r="L67" s="192"/>
      <c r="M67" s="76">
        <f>IF(AND($A$13="x",$A$14=""),($M$55+$M$56+$M$57+$M$58+$M$59+$M$60+$M$61+$M$62+$M$63+$M$64+$M$65+$M$66)/10,IF(AND($A$13="",$A$14="x"),$M$55+$M$56+$M$57+$M$58+$M$59+$M$60+$M$61+$M$62+$M$63+$M$64+$M$65+$M$66,""))</f>
        <v>0</v>
      </c>
      <c r="N67" s="280"/>
      <c r="O67" s="300"/>
      <c r="P67" s="293"/>
    </row>
    <row r="68" spans="1:16" ht="15" customHeight="1">
      <c r="A68" s="256" t="s">
        <v>55</v>
      </c>
      <c r="B68" s="257"/>
      <c r="C68" s="257"/>
      <c r="D68" s="258"/>
      <c r="E68" s="177">
        <f>'Explication déduction CP'!E28</f>
        <v>0</v>
      </c>
      <c r="G68" s="124"/>
      <c r="H68" s="124"/>
      <c r="I68" s="125"/>
      <c r="J68" s="126"/>
      <c r="K68" s="124"/>
      <c r="L68" s="127"/>
      <c r="M68" s="127"/>
      <c r="N68" s="280"/>
      <c r="O68" s="294">
        <f>IF(AND($F$70&lt;0,O62="oui"),"Report sur l'année suivante",IF(AND($F$70&lt;0,O62="non"),-valeur_cp_non_prisb,""))</f>
      </c>
      <c r="P68" s="293"/>
    </row>
    <row r="69" spans="1:16" ht="14.25">
      <c r="A69" s="166" t="s">
        <v>21</v>
      </c>
      <c r="B69" s="167"/>
      <c r="C69" s="176">
        <f>SUM(E55:E66)</f>
        <v>0</v>
      </c>
      <c r="D69" s="176">
        <f>ROUNDUP(IF(C69&gt;29,30,IF(C69&gt;30,30,C69)),0)</f>
        <v>0</v>
      </c>
      <c r="E69" s="172">
        <f>IF(ISBLANK(E68),(ROUNDUP(D69,2)),(ROUNDUP((D69-E68),0)))</f>
        <v>0</v>
      </c>
      <c r="F69" s="173">
        <f>SUM(F55:G66)</f>
        <v>0</v>
      </c>
      <c r="G69" s="174" t="s">
        <v>69</v>
      </c>
      <c r="H69" s="57">
        <f>F69</f>
        <v>0</v>
      </c>
      <c r="I69" s="263" t="s">
        <v>37</v>
      </c>
      <c r="J69" s="323">
        <f>IF(AND($A$13="x",$A$14=""),($J$55+$J$56+$J$57+$J$58+$J$59+$J$60+$J$61+$J$62+$J$63+$J$64+$J$65+$J$66+$L$55+$L$56+$L$57+$L$58+$L$59+$L$60+$L$61+$L$62+$L$63+$L$64+$L$65+$L$66),IF(AND($A$13="",$A$14="x"),ROUNDUP($J$67+$M$67,2),""))</f>
        <v>0</v>
      </c>
      <c r="K69" s="249">
        <f>IF(AND($A$13="x",$A$14=""),($J$26+$J$27+$J$28+$J$29+$J$30+$J$31+$J$32+$J$33+$J$34+$J$35+$J$36+$J$37),IF(AND($A$13="",$A$14="x"),ROUNDUP($J$38+$M$38,2),""))</f>
        <v>0</v>
      </c>
      <c r="M69" s="250">
        <f>IF(AND($A$13="x",$A$14=""),$M$55+$M$56+$M$57+$M$58+$M$59+$M$60+$M$61+$M$62+$M$63+$M$64+$M$65+$M$66+$M$67,IF(AND($A$13="",$A$14="x"),"",""))</f>
      </c>
      <c r="N69" s="296">
        <f>IF(AND($F$70&lt;0,valeur_cp_non_prisb&lt;0,$O$62="non"),"Remboursement trop perçu à l'employeur (régularisation plus favorable reste due) ","")</f>
      </c>
      <c r="O69" s="294"/>
      <c r="P69" s="293"/>
    </row>
    <row r="70" spans="1:16" ht="14.25">
      <c r="A70" s="178"/>
      <c r="B70" s="179"/>
      <c r="C70" s="180"/>
      <c r="D70" s="180"/>
      <c r="E70" s="181"/>
      <c r="F70" s="190">
        <f>E72-F69</f>
        <v>0</v>
      </c>
      <c r="G70" s="150" t="str">
        <f>IF(F70&lt;0,"CP-NON-acquis","Reste à prendre")</f>
        <v>Reste à prendre</v>
      </c>
      <c r="H70" s="138">
        <f>E72-F69</f>
        <v>0</v>
      </c>
      <c r="I70" s="264"/>
      <c r="J70" s="324"/>
      <c r="K70" s="249"/>
      <c r="M70" s="250"/>
      <c r="N70" s="297"/>
      <c r="O70" s="295"/>
      <c r="P70" s="105"/>
    </row>
    <row r="71" spans="1:16" ht="14.25">
      <c r="A71" s="168" t="s">
        <v>7</v>
      </c>
      <c r="B71" s="169"/>
      <c r="C71" s="170"/>
      <c r="D71" s="170"/>
      <c r="E71" s="77"/>
      <c r="H71" s="19"/>
      <c r="I71" s="41"/>
      <c r="P71" s="108"/>
    </row>
    <row r="72" spans="1:16" ht="15">
      <c r="A72" s="261" t="s">
        <v>22</v>
      </c>
      <c r="B72" s="262"/>
      <c r="C72" s="262"/>
      <c r="D72" s="182"/>
      <c r="E72" s="175">
        <f>IF($E$69&gt;30,30,IF($E$69+$E$71&gt;32,32,$E$69+$E$71))+$E$54</f>
        <v>0</v>
      </c>
      <c r="H72" s="19"/>
      <c r="I72" s="53"/>
      <c r="J72" s="58"/>
      <c r="K72" s="53"/>
      <c r="L72" s="53"/>
      <c r="M72" s="53"/>
      <c r="N72" s="123"/>
      <c r="O72" s="123"/>
      <c r="P72" s="102"/>
    </row>
    <row r="73" spans="8:16" ht="10.5" customHeight="1">
      <c r="H73" s="19"/>
      <c r="I73" s="98" t="s">
        <v>70</v>
      </c>
      <c r="J73" s="98"/>
      <c r="K73" s="98"/>
      <c r="L73" s="98"/>
      <c r="M73" s="98"/>
      <c r="N73" s="98"/>
      <c r="O73" s="19"/>
      <c r="P73" s="102"/>
    </row>
    <row r="74" spans="1:16" ht="3.75" customHeight="1">
      <c r="A74" s="59"/>
      <c r="B74" s="59"/>
      <c r="C74" s="59"/>
      <c r="D74" s="59"/>
      <c r="E74" s="59"/>
      <c r="F74" s="59"/>
      <c r="G74" s="60"/>
      <c r="H74" s="19"/>
      <c r="I74" s="53"/>
      <c r="J74" s="53"/>
      <c r="K74" s="53"/>
      <c r="L74" s="53"/>
      <c r="M74" s="53"/>
      <c r="N74" s="53"/>
      <c r="O74" s="53"/>
      <c r="P74" s="107"/>
    </row>
    <row r="75" spans="1:15" ht="18" customHeight="1">
      <c r="A75" s="238" t="s">
        <v>27</v>
      </c>
      <c r="B75" s="239"/>
      <c r="C75" s="239"/>
      <c r="D75" s="239"/>
      <c r="E75" s="239"/>
      <c r="F75" s="239"/>
      <c r="G75" s="240"/>
      <c r="H75" s="19"/>
      <c r="J75" s="89"/>
      <c r="K75" s="160" t="s">
        <v>20</v>
      </c>
      <c r="L75" s="42"/>
      <c r="M75" s="140"/>
      <c r="O75" s="19"/>
    </row>
    <row r="76" spans="1:15" ht="3" customHeight="1">
      <c r="A76" s="61"/>
      <c r="B76" s="62"/>
      <c r="C76" s="62"/>
      <c r="D76" s="62"/>
      <c r="E76" s="62"/>
      <c r="F76" s="62"/>
      <c r="G76" s="62"/>
      <c r="H76" s="62"/>
      <c r="I76" s="63"/>
      <c r="J76" s="19"/>
      <c r="K76" s="19"/>
      <c r="L76" s="19"/>
      <c r="M76" s="19"/>
      <c r="N76" s="19"/>
      <c r="O76" s="19"/>
    </row>
    <row r="77" spans="1:16" ht="18.75" customHeight="1">
      <c r="A77" s="276" t="s">
        <v>35</v>
      </c>
      <c r="B77" s="277"/>
      <c r="C77" s="277"/>
      <c r="D77" s="277"/>
      <c r="E77" s="277"/>
      <c r="F77" s="277"/>
      <c r="G77" s="278"/>
      <c r="H77" s="19"/>
      <c r="I77" s="267" t="s">
        <v>36</v>
      </c>
      <c r="J77" s="268"/>
      <c r="K77" s="268"/>
      <c r="L77" s="268"/>
      <c r="M77" s="268"/>
      <c r="N77" s="268"/>
      <c r="O77" s="269"/>
      <c r="P77" s="102"/>
    </row>
    <row r="78" spans="1:16" ht="18" customHeight="1" hidden="1">
      <c r="A78" s="19"/>
      <c r="B78" s="19"/>
      <c r="C78" s="19"/>
      <c r="D78" s="19"/>
      <c r="E78" s="19"/>
      <c r="F78" s="19"/>
      <c r="G78" s="19"/>
      <c r="H78" s="19"/>
      <c r="I78" s="19"/>
      <c r="J78" s="44">
        <f>SUMPRODUCT(J83:J95)</f>
        <v>0</v>
      </c>
      <c r="K78" s="19"/>
      <c r="L78" s="64" t="e">
        <f>(((L83+L84+L85+L86+L87+L88+L89+L90+L91+L92+L93+L94+L95)/10)+(L83+L84+L85+L86+L87+L88+L89+L90+L91+L92+L93+L94+L95))</f>
        <v>#VALUE!</v>
      </c>
      <c r="M78" s="147"/>
      <c r="N78" s="19"/>
      <c r="O78" s="19"/>
      <c r="P78" s="102"/>
    </row>
    <row r="79" spans="1:16" ht="2.25" customHeight="1">
      <c r="A79" s="43"/>
      <c r="B79" s="43"/>
      <c r="C79" s="43"/>
      <c r="D79" s="43"/>
      <c r="E79" s="43"/>
      <c r="F79" s="43"/>
      <c r="G79" s="43"/>
      <c r="H79" s="19"/>
      <c r="I79" s="19"/>
      <c r="J79" s="44"/>
      <c r="K79" s="19"/>
      <c r="L79" s="65"/>
      <c r="M79" s="65"/>
      <c r="N79" s="19"/>
      <c r="O79" s="19"/>
      <c r="P79" s="102"/>
    </row>
    <row r="80" spans="1:16" ht="18.75" customHeight="1">
      <c r="A80" s="254" t="s">
        <v>24</v>
      </c>
      <c r="B80" s="255"/>
      <c r="C80" s="255"/>
      <c r="D80" s="255"/>
      <c r="E80" s="255"/>
      <c r="F80" s="109"/>
      <c r="G80" s="18" t="s">
        <v>2</v>
      </c>
      <c r="H80" s="19"/>
      <c r="I80" s="231" t="s">
        <v>34</v>
      </c>
      <c r="J80" s="232"/>
      <c r="K80" s="232"/>
      <c r="L80" s="233"/>
      <c r="M80" s="141"/>
      <c r="N80" s="310" t="s">
        <v>33</v>
      </c>
      <c r="O80" s="273"/>
      <c r="P80" s="102"/>
    </row>
    <row r="81" spans="1:15" ht="15" customHeight="1">
      <c r="A81" s="290" t="s">
        <v>1</v>
      </c>
      <c r="B81" s="290"/>
      <c r="C81" s="290"/>
      <c r="D81" s="290"/>
      <c r="E81" s="290"/>
      <c r="F81" s="241" t="s">
        <v>0</v>
      </c>
      <c r="G81" s="242"/>
      <c r="H81" s="19"/>
      <c r="I81" s="237" t="str">
        <f>IF(AND(A13="x",A14=""),"Salaires BRUT versés /mois Hors Heures comp/supp",IF(AND(A13="",A14="x"),"Salaires BRUT mensualisés",""))</f>
        <v>Salaires BRUT mensualisés</v>
      </c>
      <c r="J81" s="247" t="str">
        <f>IF(AND(A13="x",A14=""),"1ère formule de Calcul (Sur salaire Brut): 11%",IF(AND(A13="",A14="x"),"Dont les congés payés inclus",""))</f>
        <v>Dont les congés payés inclus</v>
      </c>
      <c r="K81" s="247" t="str">
        <f>IF(AND(A13="x",A14=""),"Heures comp/supp-Indiquer le montant du salaire BRUT correspondant uniquement aux Heures complet/ou suppl versées/mois",IF(AND(A13="",A14="x"),"Heures comp/supp-Indiquer le montant du salaire BRUT correspondant uniquement aux Heures complet/ou suppl versées/mois",""))</f>
        <v>Heures comp/supp-Indiquer le montant du salaire BRUT correspondant uniquement aux Heures complet/ou suppl versées/mois</v>
      </c>
      <c r="L81" s="247">
        <f>IF(AND(A13="x",A14=""),"1ère formule de Calcul (Sur les heures comp/supp): 11%",IF(AND(A13="",A14="x"),"",""))</f>
      </c>
      <c r="M81" s="215" t="str">
        <f>IF(AND(A13="x",A14=""),"Autre formule de calcul",IF(AND(A13="",A14="x"),"Montant Congés à percevoir heures comp ou supp  à 11%",""))</f>
        <v>Montant Congés à percevoir heures comp ou supp  à 11%</v>
      </c>
      <c r="N81" s="319" t="s">
        <v>25</v>
      </c>
      <c r="O81" s="320"/>
    </row>
    <row r="82" spans="1:15" ht="82.5" customHeight="1">
      <c r="A82" s="290"/>
      <c r="B82" s="290"/>
      <c r="C82" s="290"/>
      <c r="D82" s="290"/>
      <c r="E82" s="290"/>
      <c r="F82" s="243"/>
      <c r="G82" s="244"/>
      <c r="H82" s="19"/>
      <c r="I82" s="237"/>
      <c r="J82" s="248"/>
      <c r="K82" s="248"/>
      <c r="L82" s="248"/>
      <c r="M82" s="216"/>
      <c r="N82" s="321"/>
      <c r="O82" s="322"/>
    </row>
    <row r="83" spans="1:16" ht="15.75" customHeight="1">
      <c r="A83" s="301" t="str">
        <f>IF($O$62="oui","Report année précédente","")</f>
        <v>Report année précédente</v>
      </c>
      <c r="B83" s="302"/>
      <c r="C83" s="302"/>
      <c r="D83" s="163"/>
      <c r="E83" s="66">
        <f>IF($O$62="oui",$F$70,0)</f>
        <v>0</v>
      </c>
      <c r="F83" s="291"/>
      <c r="G83" s="292"/>
      <c r="H83" s="19"/>
      <c r="I83" s="165"/>
      <c r="J83" s="67"/>
      <c r="K83" s="48"/>
      <c r="L83" s="68"/>
      <c r="M83" s="148"/>
      <c r="N83" s="153" t="s">
        <v>5</v>
      </c>
      <c r="O83" s="112"/>
      <c r="P83" s="102"/>
    </row>
    <row r="84" spans="1:15" ht="14.25" customHeight="1">
      <c r="A84" s="36" t="s">
        <v>19</v>
      </c>
      <c r="B84" s="37"/>
      <c r="C84" s="164" t="str">
        <f>IF(ISBLANK(J75),"janvier",J75)</f>
        <v>janvier</v>
      </c>
      <c r="D84" s="82"/>
      <c r="E84" s="162">
        <v>0</v>
      </c>
      <c r="F84" s="219"/>
      <c r="G84" s="220"/>
      <c r="H84" s="19"/>
      <c r="I84" s="51"/>
      <c r="J84" s="22">
        <f>IF(AND($A$13="x",$A$14=""),$I$84*11/100,IF(AND($A$13="",$A$14="x"),(($I$84/1.1)*11%),""))</f>
        <v>0</v>
      </c>
      <c r="K84" s="187"/>
      <c r="L84" s="52">
        <f>IF(AND($A$13="x",$A$14=""),$K$84*11/100,"")</f>
      </c>
      <c r="M84" s="146">
        <f>IF(AND($A$13="x",$A$14=""),($I$84+$K$84)/10,IF(AND($A$13="",$A$14="x"),$K$84*11/100,""))</f>
        <v>0</v>
      </c>
      <c r="N84" s="154" t="s">
        <v>6</v>
      </c>
      <c r="O84" s="25">
        <f>ROUNDUP(O83/26,2)</f>
        <v>0</v>
      </c>
    </row>
    <row r="85" spans="1:16" ht="14.25" customHeight="1">
      <c r="A85" s="20" t="s">
        <v>18</v>
      </c>
      <c r="B85" s="21"/>
      <c r="C85" s="84" t="str">
        <f>IF(ISBLANK(J75),"février",(_XLL.MOIS.DECALER(C84,1)))</f>
        <v>février</v>
      </c>
      <c r="D85" s="82"/>
      <c r="E85" s="87">
        <v>0</v>
      </c>
      <c r="F85" s="219"/>
      <c r="G85" s="220"/>
      <c r="H85" s="19"/>
      <c r="I85" s="51"/>
      <c r="J85" s="22">
        <f>IF(AND($A$13="x",$A$14=""),$I$85*11/100,IF(AND($A$13="",$A$14="x"),(($I$85/1.1)*11%),""))</f>
        <v>0</v>
      </c>
      <c r="K85" s="187"/>
      <c r="L85" s="52">
        <f>IF(AND($A$13="x",$A$14=""),$K$85*11/100,"")</f>
      </c>
      <c r="M85" s="146">
        <f>IF(AND($A$13="x",$A$14=""),($I$85+$K$85)/10,IF(AND($A$13="",$A$14="x"),$K$85*11/100,""))</f>
        <v>0</v>
      </c>
      <c r="N85" s="155" t="s">
        <v>41</v>
      </c>
      <c r="O85" s="115">
        <f>F99*O84</f>
        <v>0</v>
      </c>
      <c r="P85" s="99">
        <f>IF(AND(valeur_cp_non_prisc&lt;0,O91="oui"),-valeur_cp_non_prisc,0)</f>
        <v>0</v>
      </c>
    </row>
    <row r="86" spans="1:15" ht="13.5" customHeight="1">
      <c r="A86" s="20" t="s">
        <v>17</v>
      </c>
      <c r="B86" s="21"/>
      <c r="C86" s="84" t="str">
        <f>IF(ISBLANK(J75),"mars",(_XLL.MOIS.DECALER(C85,1)))</f>
        <v>mars</v>
      </c>
      <c r="D86" s="82"/>
      <c r="E86" s="87">
        <v>0</v>
      </c>
      <c r="F86" s="219"/>
      <c r="G86" s="220"/>
      <c r="H86" s="19"/>
      <c r="I86" s="51"/>
      <c r="J86" s="22">
        <f>IF(AND($A$13="x",$A$14=""),$I$86*11/100,IF(AND($A$13="",$A$14="x"),(($I$86/1.1)*11%),""))</f>
        <v>0</v>
      </c>
      <c r="K86" s="187"/>
      <c r="L86" s="52">
        <f>IF(AND($A$13="x",$A$14=""),$K$86*11/100,"")</f>
      </c>
      <c r="M86" s="146">
        <f>IF(AND($A$13="x",$A$14=""),($I$86+$K$86)/10,IF(AND($A$13="",$A$14="x"),$K$86*11/100,""))</f>
        <v>0</v>
      </c>
      <c r="N86" s="156" t="s">
        <v>65</v>
      </c>
      <c r="O86" s="117">
        <f>(E101-E83)*O84</f>
        <v>0</v>
      </c>
    </row>
    <row r="87" spans="1:15" ht="14.25">
      <c r="A87" s="20" t="s">
        <v>16</v>
      </c>
      <c r="B87" s="21"/>
      <c r="C87" s="84" t="str">
        <f>IF(ISBLANK(J75),"avril",(_XLL.MOIS.DECALER(C86,1)))</f>
        <v>avril</v>
      </c>
      <c r="D87" s="82"/>
      <c r="E87" s="87">
        <v>0</v>
      </c>
      <c r="F87" s="219"/>
      <c r="G87" s="220"/>
      <c r="H87" s="19"/>
      <c r="I87" s="51"/>
      <c r="J87" s="22">
        <f>IF(AND($A$13="x",$A$14=""),$I$87*11/100,IF(AND($A$13="",$A$14="x"),(($I$87/1.1)*11%),""))</f>
        <v>0</v>
      </c>
      <c r="K87" s="187"/>
      <c r="L87" s="52">
        <f>IF(AND($A$13="x",$A$14=""),$K$87*11/100,"")</f>
      </c>
      <c r="M87" s="146">
        <f>IF(AND($A$13="x",$A$14=""),($I$87+$K$87)/10,IF(AND($A$13="",$A$14="x"),$K$87*11/100,""))</f>
        <v>0</v>
      </c>
      <c r="N87" s="157" t="s">
        <v>40</v>
      </c>
      <c r="O87" s="26">
        <f>F98*O84</f>
        <v>0</v>
      </c>
    </row>
    <row r="88" spans="1:15" ht="14.25">
      <c r="A88" s="20" t="s">
        <v>15</v>
      </c>
      <c r="B88" s="21"/>
      <c r="C88" s="84" t="str">
        <f>IF(ISBLANK(J75),"mai",(_XLL.MOIS.DECALER(C87,1)))</f>
        <v>mai</v>
      </c>
      <c r="D88" s="82"/>
      <c r="E88" s="87">
        <v>0</v>
      </c>
      <c r="F88" s="219"/>
      <c r="G88" s="220"/>
      <c r="H88" s="19"/>
      <c r="I88" s="51"/>
      <c r="J88" s="22">
        <f>IF(AND($A$13="x",$A$14=""),$I$88*11/100,IF(AND($A$13="",$A$14="x"),(($I$88/1.1)*11%),""))</f>
        <v>0</v>
      </c>
      <c r="K88" s="187"/>
      <c r="L88" s="52">
        <f>IF(AND($A$13="x",$A$14=""),$K$88*11/100,"")</f>
      </c>
      <c r="M88" s="146">
        <f>IF(AND($A$13="x",$A$14=""),($I$88+$K$88)/10,IF(AND($A$13="",$A$14="x"),$K$88*11/100,""))</f>
        <v>0</v>
      </c>
      <c r="N88" s="298"/>
      <c r="O88" s="299"/>
    </row>
    <row r="89" spans="1:16" ht="14.25">
      <c r="A89" s="20" t="s">
        <v>14</v>
      </c>
      <c r="B89" s="21"/>
      <c r="C89" s="84" t="str">
        <f>IF(ISBLANK(J75),"juin",(_XLL.MOIS.DECALER(C88,1)))</f>
        <v>juin</v>
      </c>
      <c r="D89" s="82"/>
      <c r="E89" s="87">
        <v>0</v>
      </c>
      <c r="F89" s="219"/>
      <c r="G89" s="220"/>
      <c r="H89" s="19"/>
      <c r="I89" s="51"/>
      <c r="J89" s="22">
        <f>IF(AND($A$13="x",$A$14=""),$I$89*11/100,IF(AND($A$13="",$A$14="x"),(($I$89/1.1)*11%),""))</f>
        <v>0</v>
      </c>
      <c r="K89" s="187"/>
      <c r="L89" s="52">
        <f>IF(AND($A$13="x",$A$14=""),$K$89*11/100,"")</f>
      </c>
      <c r="M89" s="146">
        <f>IF(AND($A$13="x",$A$14=""),($I$89+$K$89)/10,IF(AND($A$13="",$A$14="x"),$K$89*11/100,""))</f>
        <v>0</v>
      </c>
      <c r="N89" s="158" t="s">
        <v>67</v>
      </c>
      <c r="O89" s="119">
        <f>IF(P89&lt;=0,0,(total_cp_acquisc-valeur_cp_prisc)+(valeur_cp_prisc-O90))</f>
        <v>0</v>
      </c>
      <c r="P89" s="103">
        <f>(total_cp_acquisc-valeur_cp_prisc)+(valeur_cp_prisc-total_cp_10_centc)</f>
        <v>0</v>
      </c>
    </row>
    <row r="90" spans="1:15" ht="14.25">
      <c r="A90" s="20" t="s">
        <v>13</v>
      </c>
      <c r="B90" s="21"/>
      <c r="C90" s="84" t="str">
        <f>IF(ISBLANK(J75),"juillet",(_XLL.MOIS.DECALER(C89,1)))</f>
        <v>juillet</v>
      </c>
      <c r="D90" s="82"/>
      <c r="E90" s="87">
        <v>0</v>
      </c>
      <c r="F90" s="219"/>
      <c r="G90" s="220"/>
      <c r="H90" s="19"/>
      <c r="I90" s="51"/>
      <c r="J90" s="22">
        <f>IF(AND($A$13="x",$A$14=""),$I$90*11/100,IF(AND($A$13="",$A$14="x"),(($I$90/1.1)*11%),""))</f>
        <v>0</v>
      </c>
      <c r="K90" s="187"/>
      <c r="L90" s="52">
        <f>IF(AND($A$13="x",$A$14=""),$K$90*11/100,"")</f>
      </c>
      <c r="M90" s="146">
        <f>IF(AND($A$13="x",$A$14=""),($I$90+$K$90)/10,IF(AND($A$13="",$A$14="x"),$K$90*11/100,""))</f>
        <v>0</v>
      </c>
      <c r="N90" s="159" t="s">
        <v>66</v>
      </c>
      <c r="O90" s="120">
        <f>IF(total_cp_10_centc&gt;K97,total_cp_10_centc,K97)</f>
        <v>0</v>
      </c>
    </row>
    <row r="91" spans="1:15" ht="15.75">
      <c r="A91" s="20" t="s">
        <v>12</v>
      </c>
      <c r="B91" s="21"/>
      <c r="C91" s="84" t="str">
        <f>IF(ISBLANK(J75),"aout",(_XLL.MOIS.DECALER(C90,1)))</f>
        <v>aout</v>
      </c>
      <c r="D91" s="82"/>
      <c r="E91" s="87">
        <v>0</v>
      </c>
      <c r="F91" s="219"/>
      <c r="G91" s="220"/>
      <c r="H91" s="19"/>
      <c r="I91" s="51"/>
      <c r="J91" s="22">
        <f>IF(AND($A$13="x",$A$14=""),$I$91*11/100,IF(AND($A$13="",$A$14="x"),(($I$91/1.1)*11%),""))</f>
        <v>0</v>
      </c>
      <c r="K91" s="187"/>
      <c r="L91" s="52">
        <f>IF(AND($A$13="x",$A$14=""),$K$91*11/100,"")</f>
      </c>
      <c r="M91" s="146">
        <f>IF(AND($A$13="x",$A$14=""),($I$91+$K$91)/10,IF(AND($A$13="",$A$14="x"),$K$91*11/100,""))</f>
        <v>0</v>
      </c>
      <c r="N91" s="27" t="s">
        <v>45</v>
      </c>
      <c r="O91" s="28" t="s">
        <v>2</v>
      </c>
    </row>
    <row r="92" spans="1:16" ht="14.25">
      <c r="A92" s="20" t="s">
        <v>11</v>
      </c>
      <c r="B92" s="21"/>
      <c r="C92" s="84" t="str">
        <f>IF(ISBLANK(J75),"septembre",(_XLL.MOIS.DECALER(C91,1)))</f>
        <v>septembre</v>
      </c>
      <c r="D92" s="82"/>
      <c r="E92" s="87">
        <v>0</v>
      </c>
      <c r="F92" s="219"/>
      <c r="G92" s="220"/>
      <c r="H92" s="19"/>
      <c r="I92" s="51"/>
      <c r="J92" s="22">
        <f>IF(AND($A$13="x",$A$14=""),$I$92*11/100,IF(AND($A$13="",$A$14="x"),(($I$92/1.1)*11%),""))</f>
        <v>0</v>
      </c>
      <c r="K92" s="187"/>
      <c r="L92" s="52">
        <f>IF(AND($A$13="x",$A$14=""),$K$92*11/100,"")</f>
      </c>
      <c r="M92" s="146">
        <f>IF(AND($A$13="x",$A$14=""),($I$92+$K$92)/10,IF(AND($A$13="",$A$14="x"),$K$92*11/100,""))</f>
        <v>0</v>
      </c>
      <c r="N92" s="29"/>
      <c r="O92" s="137"/>
      <c r="P92" s="104"/>
    </row>
    <row r="93" spans="1:16" ht="15">
      <c r="A93" s="20" t="s">
        <v>8</v>
      </c>
      <c r="B93" s="21"/>
      <c r="C93" s="84" t="str">
        <f>IF(ISBLANK(J75),"octobre",(_XLL.MOIS.DECALER(C92,1)))</f>
        <v>octobre</v>
      </c>
      <c r="D93" s="82"/>
      <c r="E93" s="87">
        <v>0</v>
      </c>
      <c r="F93" s="219"/>
      <c r="G93" s="220"/>
      <c r="H93" s="19"/>
      <c r="I93" s="51"/>
      <c r="J93" s="22">
        <f>IF(AND($A$13="x",$A$14=""),$I$93*11/100,IF(AND($A$13="",$A$14="x"),(($I$93/1.1)*11%),""))</f>
        <v>0</v>
      </c>
      <c r="K93" s="187"/>
      <c r="L93" s="52">
        <f>IF(AND($A$13="x",$A$14=""),$K$93*11/100,"")</f>
      </c>
      <c r="M93" s="146">
        <f>IF(AND($A$13="x",$A$14=""),($I$93+$K$93)/10,IF(AND($A$13="",$A$14="x"),$K$93*11/100,""))</f>
        <v>0</v>
      </c>
      <c r="N93" s="307" t="s">
        <v>43</v>
      </c>
      <c r="O93" s="236"/>
      <c r="P93" s="102"/>
    </row>
    <row r="94" spans="1:15" ht="14.25">
      <c r="A94" s="20" t="s">
        <v>9</v>
      </c>
      <c r="B94" s="21"/>
      <c r="C94" s="84" t="str">
        <f>IF(ISBLANK(J75),"novembre",(_XLL.MOIS.DECALER(C93,1)))</f>
        <v>novembre</v>
      </c>
      <c r="D94" s="82"/>
      <c r="E94" s="87">
        <v>0</v>
      </c>
      <c r="F94" s="219"/>
      <c r="G94" s="220"/>
      <c r="H94" s="19"/>
      <c r="I94" s="51"/>
      <c r="J94" s="22">
        <f>IF(AND($A$13="x",$A$14=""),$I$94*11/100,IF(AND($A$13="",$A$14="x"),(($I$94/1.1)*11%),""))</f>
        <v>0</v>
      </c>
      <c r="K94" s="187"/>
      <c r="L94" s="52">
        <f>IF(AND($A$13="x",$A$14=""),$K$94*11/100,"")</f>
      </c>
      <c r="M94" s="146">
        <f>IF(AND($A$13="x",$A$14=""),($I$94+$K$94)/10,IF(AND($A$13="",$A$14="x"),$K$94*11/100,""))</f>
        <v>0</v>
      </c>
      <c r="N94" s="307" t="s">
        <v>44</v>
      </c>
      <c r="O94" s="236"/>
    </row>
    <row r="95" spans="1:16" ht="14.25" customHeight="1">
      <c r="A95" s="30" t="s">
        <v>10</v>
      </c>
      <c r="B95" s="31"/>
      <c r="C95" s="84" t="str">
        <f>IF(ISBLANK(J75),"décembre",(_XLL.MOIS.DECALER(C94,1)))</f>
        <v>décembre</v>
      </c>
      <c r="D95" s="83"/>
      <c r="E95" s="88">
        <v>0</v>
      </c>
      <c r="F95" s="219"/>
      <c r="G95" s="220"/>
      <c r="H95" s="19"/>
      <c r="I95" s="51"/>
      <c r="J95" s="69">
        <f>IF(AND($A$13="x",$A$14=""),$I$95*11/100,IF(AND($A$13="",$A$14="x"),(($I$95/1.1)*11%),""))</f>
        <v>0</v>
      </c>
      <c r="K95" s="188"/>
      <c r="L95" s="55">
        <f>IF(AND($A$13="x",$A$14=""),$K$95*11/100,"")</f>
      </c>
      <c r="M95" s="146">
        <f>IF(AND($A$13="x",$A$14=""),($I$95+$K$95)/10,IF(AND($A$13="",$A$14="x"),$K$95*11/100,""))</f>
        <v>0</v>
      </c>
      <c r="N95" s="280" t="s">
        <v>68</v>
      </c>
      <c r="O95" s="300">
        <f>IF(AND(O91="oui",valeur_cp_non_prisc&gt;0),O89,IF(AND(O91="non",valeur_cp_non_prisc&lt;0),O89,valeur_cp_non_prisc+O89))+IF(AND(valeur_cp_non_prisc&lt;0,O91="oui"),O89,0)</f>
        <v>0</v>
      </c>
      <c r="P95" s="293"/>
    </row>
    <row r="96" spans="1:16" ht="15.75" customHeight="1">
      <c r="A96" s="285" t="str">
        <f>IF(AND($A$13="x",$A$14=""),"Régularisation Congés payés fin d'année de référence  (Autre formule 10% sur CP)",IF(AND($A$13="",$A$14="x"),"Total des Cp inclus + total CP Hrs comp/sup (cellule I)",""))</f>
        <v>Total des Cp inclus + total CP Hrs comp/sup (cellule I)</v>
      </c>
      <c r="B96" s="286"/>
      <c r="C96" s="286"/>
      <c r="D96" s="286"/>
      <c r="E96" s="286"/>
      <c r="F96" s="286"/>
      <c r="G96" s="286"/>
      <c r="H96" s="286"/>
      <c r="I96" s="286"/>
      <c r="J96" s="74">
        <f>IF(AND($A$13="x",$A$14=""),"",IF(AND($A$13="",$A$14="x"),($J$84+$J$85+$J$86+$J$87+$J$88+$J$89+$J$90+$J$91+$J$92+$J$93+$J$94+$J$95),""))</f>
        <v>0</v>
      </c>
      <c r="K96" s="56" t="str">
        <f>IF(AND($A$13="x",$A$14=""),"",IF(AND($A$13="",$A$14="x"),"Total CP= Hrs Comp/Supp",""))</f>
        <v>Total CP= Hrs Comp/Supp</v>
      </c>
      <c r="L96" s="192"/>
      <c r="M96" s="75">
        <f>IF(AND($A$13="x",$A$14=""),(M84+M85+M86+M87+M88+M89+M90+M91+M92+M93+M94+M95)/10,IF(AND($A$13="",$A$14="x"),M84+M85+M86+M87+M88+M89+M90+M91+M92+M93+M94+M95,""))</f>
        <v>0</v>
      </c>
      <c r="N96" s="280"/>
      <c r="O96" s="300"/>
      <c r="P96" s="293"/>
    </row>
    <row r="97" spans="1:16" ht="15.75">
      <c r="A97" s="256" t="s">
        <v>55</v>
      </c>
      <c r="B97" s="257"/>
      <c r="C97" s="257"/>
      <c r="D97" s="258"/>
      <c r="E97" s="171">
        <f>'Explication déduction CP'!E30</f>
        <v>0</v>
      </c>
      <c r="G97" s="124"/>
      <c r="H97" s="124"/>
      <c r="I97" s="125"/>
      <c r="J97" s="128"/>
      <c r="K97" s="129"/>
      <c r="L97" s="130"/>
      <c r="M97" s="130"/>
      <c r="N97" s="280"/>
      <c r="O97" s="294">
        <f>IF(AND($F$99&lt;0,O91="oui"),"Report sur l'année suivante",IF(AND($F$99&lt;0,O91="non"),-valeur_cp_non_prisc,""))</f>
      </c>
      <c r="P97" s="293"/>
    </row>
    <row r="98" spans="1:16" ht="14.25">
      <c r="A98" s="166" t="s">
        <v>21</v>
      </c>
      <c r="B98" s="167"/>
      <c r="C98" s="176">
        <f>SUM(E84:E95)</f>
        <v>0</v>
      </c>
      <c r="D98" s="176">
        <f>ROUNDUP(IF(C98&gt;29,30,IF(C98&gt;30,30,C98)),0)</f>
        <v>0</v>
      </c>
      <c r="E98" s="172">
        <f>IF(ISBLANK(E97),(ROUNDUP(D98,2)),(ROUNDUP((D98-E97),0)))</f>
        <v>0</v>
      </c>
      <c r="F98" s="151">
        <f>SUM(F84:G95)</f>
        <v>0</v>
      </c>
      <c r="G98" s="149" t="s">
        <v>69</v>
      </c>
      <c r="H98" s="38" t="str">
        <f>G98</f>
        <v>CP pris</v>
      </c>
      <c r="I98" s="263" t="s">
        <v>37</v>
      </c>
      <c r="J98" s="311">
        <f>IF(AND($A$13="x",$A$14=""),($J$84+$J$85+$J$86+$J$87+$J$88+$J$89+$J$90+$J$91+$J$92+$J$93+$J$94+$J$95+$L$84+$L$85+$L$86+$L$87+$L$88+$L$89+$L$90+$L$91+$L$92+$L$93+$L$94+$L$95),IF(AND($A$13="",$A$14="x"),ROUNDUP($J$96+$M$96,2),""))</f>
        <v>0</v>
      </c>
      <c r="K98" s="249">
        <f>IF(AND($A$13="x",$A$14=""),($J$26+$J$27+$J$28+$J$29+$J$30+$J$31+$J$32+$J$33+$J$34+$J$35+$J$36+$J$37),IF(AND($A$13="",$A$14="x"),ROUNDUP($J$38+$M$38,2),""))</f>
        <v>0</v>
      </c>
      <c r="M98" s="279">
        <f>IF(AND($A$13="x",$A$14=""),$M$84+$M$85+$M$86+$M$87+$M$88+$M$89+$M$90+$M$91+$M$92+$M$93+$M$94+$M$95+$M$96,IF(AND($A$13="",$A$14="x"),"",""))</f>
      </c>
      <c r="N98" s="296">
        <f>IF(AND($F$99&lt;0,valeur_cp_non_prisc&lt;0,$O$91="non"),"Remboursement trop perçu à l'employeur (régularisation plus favorable reste due) ","")</f>
      </c>
      <c r="O98" s="294"/>
      <c r="P98" s="293"/>
    </row>
    <row r="99" spans="1:16" ht="14.25">
      <c r="A99" s="183"/>
      <c r="B99" s="184"/>
      <c r="C99" s="185"/>
      <c r="D99" s="185"/>
      <c r="E99" s="186"/>
      <c r="F99" s="152">
        <f>E101-F98</f>
        <v>0</v>
      </c>
      <c r="G99" s="150" t="str">
        <f>IF(F99&lt;0,"CP-NON-acquis","Reste à prendre")</f>
        <v>Reste à prendre</v>
      </c>
      <c r="H99" s="19"/>
      <c r="I99" s="264"/>
      <c r="J99" s="312"/>
      <c r="K99" s="249"/>
      <c r="M99" s="279"/>
      <c r="N99" s="297"/>
      <c r="O99" s="295"/>
      <c r="P99" s="105"/>
    </row>
    <row r="100" spans="1:16" ht="15.75" customHeight="1">
      <c r="A100" s="168" t="s">
        <v>7</v>
      </c>
      <c r="B100" s="169"/>
      <c r="C100" s="170"/>
      <c r="D100" s="170"/>
      <c r="E100" s="77"/>
      <c r="H100" s="19"/>
      <c r="I100" s="41"/>
      <c r="K100" s="98"/>
      <c r="L100" s="98"/>
      <c r="M100" s="98"/>
      <c r="P100" s="108"/>
    </row>
    <row r="101" spans="1:15" ht="14.25">
      <c r="A101" s="261" t="s">
        <v>22</v>
      </c>
      <c r="B101" s="262"/>
      <c r="C101" s="262"/>
      <c r="D101" s="182"/>
      <c r="E101" s="175">
        <f>IF($E$98&gt;30,30,IF($E$98+$E$100&gt;32,32,$E$98+$E$100))+$E$83</f>
        <v>0</v>
      </c>
      <c r="H101" s="19"/>
      <c r="I101" s="53"/>
      <c r="J101" s="281" t="s">
        <v>48</v>
      </c>
      <c r="K101" s="281"/>
      <c r="L101" s="281"/>
      <c r="M101" s="281"/>
      <c r="N101" s="281"/>
      <c r="O101" s="281"/>
    </row>
    <row r="102" spans="1:16" ht="8.2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P102" s="102"/>
    </row>
    <row r="103" spans="1:16" ht="15">
      <c r="A103" s="70"/>
      <c r="B103" s="218" t="s">
        <v>53</v>
      </c>
      <c r="C103" s="218"/>
      <c r="D103" s="218"/>
      <c r="E103" s="218"/>
      <c r="F103" s="218"/>
      <c r="G103" s="218"/>
      <c r="H103" s="53"/>
      <c r="I103" s="53"/>
      <c r="J103" s="19"/>
      <c r="K103" s="53"/>
      <c r="N103" s="217" t="s">
        <v>54</v>
      </c>
      <c r="O103" s="217"/>
      <c r="P103" s="107"/>
    </row>
    <row r="104" spans="1:16" ht="15.75">
      <c r="A104" s="53"/>
      <c r="B104" s="218"/>
      <c r="C104" s="218"/>
      <c r="D104" s="218"/>
      <c r="E104" s="218"/>
      <c r="F104" s="218"/>
      <c r="G104" s="218"/>
      <c r="H104" s="53"/>
      <c r="I104" s="53"/>
      <c r="J104" s="71" t="s">
        <v>79</v>
      </c>
      <c r="K104" s="53"/>
      <c r="N104" s="217"/>
      <c r="O104" s="217"/>
      <c r="P104" s="102"/>
    </row>
    <row r="105" spans="1:16" ht="15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P105" s="102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02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02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J108" s="1"/>
      <c r="K108" s="1"/>
      <c r="L108" s="1"/>
      <c r="M108" s="1"/>
      <c r="N108" s="1"/>
      <c r="O108" s="1"/>
      <c r="P108" s="102"/>
      <c r="Q108" s="1"/>
      <c r="R108" s="1"/>
    </row>
  </sheetData>
  <sheetProtection password="DE7F" sheet="1" selectLockedCells="1"/>
  <mergeCells count="150">
    <mergeCell ref="F59:G59"/>
    <mergeCell ref="F92:G92"/>
    <mergeCell ref="F93:G93"/>
    <mergeCell ref="F87:G87"/>
    <mergeCell ref="A54:C54"/>
    <mergeCell ref="F60:G60"/>
    <mergeCell ref="F88:G88"/>
    <mergeCell ref="F89:G89"/>
    <mergeCell ref="F90:G90"/>
    <mergeCell ref="F83:G83"/>
    <mergeCell ref="F84:G84"/>
    <mergeCell ref="F85:G85"/>
    <mergeCell ref="F86:G86"/>
    <mergeCell ref="N51:O51"/>
    <mergeCell ref="F37:G37"/>
    <mergeCell ref="J40:J41"/>
    <mergeCell ref="F56:G56"/>
    <mergeCell ref="N64:O64"/>
    <mergeCell ref="N65:O65"/>
    <mergeCell ref="A77:G77"/>
    <mergeCell ref="B13:F13"/>
    <mergeCell ref="B14:F14"/>
    <mergeCell ref="L23:L24"/>
    <mergeCell ref="A39:D39"/>
    <mergeCell ref="A52:E53"/>
    <mergeCell ref="N81:O82"/>
    <mergeCell ref="J69:J70"/>
    <mergeCell ref="K69:K70"/>
    <mergeCell ref="F66:G66"/>
    <mergeCell ref="F63:G63"/>
    <mergeCell ref="O97:O99"/>
    <mergeCell ref="F94:G94"/>
    <mergeCell ref="F91:G91"/>
    <mergeCell ref="I80:L80"/>
    <mergeCell ref="O95:O96"/>
    <mergeCell ref="I77:O77"/>
    <mergeCell ref="N80:O80"/>
    <mergeCell ref="N98:N99"/>
    <mergeCell ref="J98:J99"/>
    <mergeCell ref="K98:K99"/>
    <mergeCell ref="P95:P96"/>
    <mergeCell ref="N93:O93"/>
    <mergeCell ref="O40:O42"/>
    <mergeCell ref="N41:N42"/>
    <mergeCell ref="O66:O67"/>
    <mergeCell ref="N94:O94"/>
    <mergeCell ref="N66:N68"/>
    <mergeCell ref="N95:N97"/>
    <mergeCell ref="N88:O88"/>
    <mergeCell ref="P97:P98"/>
    <mergeCell ref="A83:C83"/>
    <mergeCell ref="A23:E24"/>
    <mergeCell ref="A48:G48"/>
    <mergeCell ref="K81:K82"/>
    <mergeCell ref="P38:P39"/>
    <mergeCell ref="P40:P41"/>
    <mergeCell ref="F81:G82"/>
    <mergeCell ref="F65:G65"/>
    <mergeCell ref="F61:G61"/>
    <mergeCell ref="F55:G55"/>
    <mergeCell ref="N52:O53"/>
    <mergeCell ref="F36:G36"/>
    <mergeCell ref="I48:O48"/>
    <mergeCell ref="F52:G53"/>
    <mergeCell ref="P66:P67"/>
    <mergeCell ref="O68:O70"/>
    <mergeCell ref="P68:P69"/>
    <mergeCell ref="N69:N70"/>
    <mergeCell ref="N59:O59"/>
    <mergeCell ref="O38:O39"/>
    <mergeCell ref="A80:E80"/>
    <mergeCell ref="A81:E82"/>
    <mergeCell ref="F95:G95"/>
    <mergeCell ref="F64:G64"/>
    <mergeCell ref="J81:J82"/>
    <mergeCell ref="A22:E22"/>
    <mergeCell ref="F57:G57"/>
    <mergeCell ref="F58:G58"/>
    <mergeCell ref="F54:G54"/>
    <mergeCell ref="I40:I41"/>
    <mergeCell ref="J101:O101"/>
    <mergeCell ref="I81:I82"/>
    <mergeCell ref="I43:O43"/>
    <mergeCell ref="M40:M41"/>
    <mergeCell ref="F32:G32"/>
    <mergeCell ref="E4:J4"/>
    <mergeCell ref="A96:I96"/>
    <mergeCell ref="A67:I67"/>
    <mergeCell ref="A38:I38"/>
    <mergeCell ref="A8:C8"/>
    <mergeCell ref="A97:D97"/>
    <mergeCell ref="M98:M99"/>
    <mergeCell ref="A101:C101"/>
    <mergeCell ref="F31:G31"/>
    <mergeCell ref="F27:G27"/>
    <mergeCell ref="N38:N40"/>
    <mergeCell ref="J52:J53"/>
    <mergeCell ref="L81:L82"/>
    <mergeCell ref="I98:I99"/>
    <mergeCell ref="F28:G28"/>
    <mergeCell ref="K4:L4"/>
    <mergeCell ref="I20:O20"/>
    <mergeCell ref="N23:O24"/>
    <mergeCell ref="N22:O22"/>
    <mergeCell ref="A10:O10"/>
    <mergeCell ref="N4:O4"/>
    <mergeCell ref="A4:C4"/>
    <mergeCell ref="A20:G20"/>
    <mergeCell ref="I22:L22"/>
    <mergeCell ref="B11:O11"/>
    <mergeCell ref="G14:I14"/>
    <mergeCell ref="A72:C72"/>
    <mergeCell ref="L52:L53"/>
    <mergeCell ref="I69:I70"/>
    <mergeCell ref="A75:G75"/>
    <mergeCell ref="E8:O8"/>
    <mergeCell ref="A46:G46"/>
    <mergeCell ref="N37:O37"/>
    <mergeCell ref="F29:G29"/>
    <mergeCell ref="F30:G30"/>
    <mergeCell ref="K40:K41"/>
    <mergeCell ref="M69:M70"/>
    <mergeCell ref="A17:G17"/>
    <mergeCell ref="F26:G26"/>
    <mergeCell ref="K23:K24"/>
    <mergeCell ref="I23:I24"/>
    <mergeCell ref="F35:G35"/>
    <mergeCell ref="J23:J24"/>
    <mergeCell ref="A51:E51"/>
    <mergeCell ref="A68:D68"/>
    <mergeCell ref="F33:G33"/>
    <mergeCell ref="F34:G34"/>
    <mergeCell ref="A1:O1"/>
    <mergeCell ref="N36:O36"/>
    <mergeCell ref="I52:I53"/>
    <mergeCell ref="A19:G19"/>
    <mergeCell ref="F23:G24"/>
    <mergeCell ref="A41:B41"/>
    <mergeCell ref="K52:K53"/>
    <mergeCell ref="M23:M24"/>
    <mergeCell ref="M81:M82"/>
    <mergeCell ref="M52:M53"/>
    <mergeCell ref="N103:O104"/>
    <mergeCell ref="B103:G104"/>
    <mergeCell ref="F62:G62"/>
    <mergeCell ref="A12:F12"/>
    <mergeCell ref="G13:O13"/>
    <mergeCell ref="A43:D43"/>
    <mergeCell ref="F25:L25"/>
    <mergeCell ref="I51:L51"/>
  </mergeCells>
  <conditionalFormatting sqref="N25 M40">
    <cfRule type="expression" priority="21" dxfId="35" stopIfTrue="1">
      <formula>$A$12="x"</formula>
    </cfRule>
  </conditionalFormatting>
  <conditionalFormatting sqref="O31">
    <cfRule type="cellIs" priority="20" dxfId="36" operator="lessThanOrEqual" stopIfTrue="1">
      <formula>0</formula>
    </cfRule>
  </conditionalFormatting>
  <conditionalFormatting sqref="N54">
    <cfRule type="expression" priority="17" dxfId="35" stopIfTrue="1">
      <formula>$A$12="x"</formula>
    </cfRule>
  </conditionalFormatting>
  <conditionalFormatting sqref="O60">
    <cfRule type="cellIs" priority="16" dxfId="36" operator="lessThanOrEqual" stopIfTrue="1">
      <formula>0</formula>
    </cfRule>
  </conditionalFormatting>
  <conditionalFormatting sqref="N59">
    <cfRule type="containsErrors" priority="15" dxfId="37" stopIfTrue="1">
      <formula>ISERROR(N59)</formula>
    </cfRule>
  </conditionalFormatting>
  <conditionalFormatting sqref="N83">
    <cfRule type="expression" priority="14" dxfId="35" stopIfTrue="1">
      <formula>$A$12="x"</formula>
    </cfRule>
  </conditionalFormatting>
  <conditionalFormatting sqref="O89">
    <cfRule type="cellIs" priority="13" dxfId="36" operator="lessThanOrEqual" stopIfTrue="1">
      <formula>0</formula>
    </cfRule>
  </conditionalFormatting>
  <conditionalFormatting sqref="N88">
    <cfRule type="containsErrors" priority="12" dxfId="37" stopIfTrue="1">
      <formula>ISERROR(N88)</formula>
    </cfRule>
  </conditionalFormatting>
  <conditionalFormatting sqref="N25 N54 N83 J40 J69 J98 I23:K24 M23:O24 N81:O82 I52:K53 I81:K82 M52:O53">
    <cfRule type="expression" priority="11" dxfId="0" stopIfTrue="1">
      <formula>$A$13="x"</formula>
    </cfRule>
  </conditionalFormatting>
  <conditionalFormatting sqref="O66:O67">
    <cfRule type="expression" priority="10" dxfId="38" stopIfTrue="1">
      <formula>$O$66&lt;0</formula>
    </cfRule>
  </conditionalFormatting>
  <conditionalFormatting sqref="O38:O39">
    <cfRule type="expression" priority="9" dxfId="38" stopIfTrue="1">
      <formula>$O$38&lt;0</formula>
    </cfRule>
  </conditionalFormatting>
  <conditionalFormatting sqref="O95:O96">
    <cfRule type="expression" priority="8" dxfId="38" stopIfTrue="1">
      <formula>$O$95&lt;0</formula>
    </cfRule>
  </conditionalFormatting>
  <conditionalFormatting sqref="L23:L24">
    <cfRule type="expression" priority="7" dxfId="0" stopIfTrue="1">
      <formula>$A$13="x"</formula>
    </cfRule>
  </conditionalFormatting>
  <conditionalFormatting sqref="L52:L53">
    <cfRule type="expression" priority="3" dxfId="0" stopIfTrue="1">
      <formula>$A$13="x"</formula>
    </cfRule>
  </conditionalFormatting>
  <conditionalFormatting sqref="L81:L82">
    <cfRule type="expression" priority="2" dxfId="0" stopIfTrue="1">
      <formula>$A$13="x"</formula>
    </cfRule>
  </conditionalFormatting>
  <conditionalFormatting sqref="M81:M82">
    <cfRule type="expression" priority="1" dxfId="0" stopIfTrue="1">
      <formula>$A$13="x"</formula>
    </cfRule>
  </conditionalFormatting>
  <dataValidations count="3">
    <dataValidation type="list" allowBlank="1" showInputMessage="1" showErrorMessage="1" sqref="G51 G22 G80 O33 O91 O62">
      <formula1>oui_non</formula1>
    </dataValidation>
    <dataValidation type="list" allowBlank="1" showInputMessage="1" showErrorMessage="1" sqref="E55:E66 E26:E37 E84:E95">
      <formula1>jours_ouvrables</formula1>
    </dataValidation>
    <dataValidation type="list" allowBlank="1" showInputMessage="1" showErrorMessage="1" sqref="E71 E42 E100">
      <formula1>cp</formula1>
    </dataValidation>
  </dataValidations>
  <printOptions/>
  <pageMargins left="0.007629107981220657" right="0.005642361111111111" top="0" bottom="0" header="0" footer="0"/>
  <pageSetup fitToHeight="0" fitToWidth="1" horizontalDpi="300" verticalDpi="300" orientation="portrait" paperSize="9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showGridLines="0" zoomScale="75" zoomScaleNormal="75" zoomScaleSheetLayoutView="95" zoomScalePageLayoutView="96" workbookViewId="0" topLeftCell="A1">
      <selection activeCell="E4" sqref="E4:J4"/>
    </sheetView>
  </sheetViews>
  <sheetFormatPr defaultColWidth="13.83203125" defaultRowHeight="11.25"/>
  <cols>
    <col min="1" max="1" width="3.66015625" style="135" customWidth="1"/>
    <col min="2" max="2" width="32.33203125" style="135" customWidth="1"/>
    <col min="3" max="3" width="13" style="135" customWidth="1"/>
    <col min="4" max="4" width="6" style="135" customWidth="1"/>
    <col min="5" max="5" width="7" style="135" customWidth="1"/>
    <col min="6" max="6" width="6.83203125" style="135" customWidth="1"/>
    <col min="7" max="7" width="26" style="135" customWidth="1"/>
    <col min="8" max="8" width="0.65625" style="135" customWidth="1"/>
    <col min="9" max="9" width="18.16015625" style="135" customWidth="1"/>
    <col min="10" max="10" width="17.66015625" style="135" customWidth="1"/>
    <col min="11" max="11" width="39.5" style="135" customWidth="1"/>
    <col min="12" max="12" width="17.66015625" style="135" customWidth="1"/>
    <col min="13" max="13" width="19.5" style="135" customWidth="1"/>
    <col min="14" max="14" width="62" style="135" customWidth="1"/>
    <col min="15" max="15" width="19.16015625" style="135" customWidth="1"/>
    <col min="16" max="16" width="13.83203125" style="196" hidden="1" customWidth="1"/>
    <col min="17" max="17" width="4.66015625" style="135" customWidth="1"/>
    <col min="18" max="18" width="9" style="135" customWidth="1"/>
    <col min="19" max="19" width="9.5" style="135" customWidth="1"/>
    <col min="20" max="20" width="3.66015625" style="135" customWidth="1"/>
    <col min="21" max="21" width="13.83203125" style="135" customWidth="1"/>
    <col min="22" max="22" width="8.66015625" style="135" customWidth="1"/>
    <col min="23" max="23" width="3.33203125" style="135" customWidth="1"/>
    <col min="24" max="24" width="1.66796875" style="135" customWidth="1"/>
    <col min="25" max="16384" width="13.83203125" style="135" customWidth="1"/>
  </cols>
  <sheetData>
    <row r="1" spans="1:15" ht="66.75" customHeight="1">
      <c r="A1" s="234" t="str">
        <f>IF(AND($A$13="x",$A$14=""),"CALCUL  DES CONGES PAYES : Mensualisation Congés payées Non Inclus
",IF(AND($A$13="",$A$14="x"),"CALCUL  DES CONGES PAYES: Mensualisation Congés payés Inclus",""))</f>
        <v>CALCUL  DES CONGES PAYES: Mensualisation Congés payés Inclus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ht="9" customHeight="1"/>
    <row r="3" ht="3.75" customHeight="1"/>
    <row r="4" spans="1:15" ht="18.75" customHeight="1">
      <c r="A4" s="275" t="s">
        <v>51</v>
      </c>
      <c r="B4" s="275"/>
      <c r="C4" s="275"/>
      <c r="D4" s="203"/>
      <c r="E4" s="265"/>
      <c r="F4" s="265"/>
      <c r="G4" s="265"/>
      <c r="H4" s="265"/>
      <c r="I4" s="265"/>
      <c r="J4" s="265"/>
      <c r="K4" s="266" t="s">
        <v>52</v>
      </c>
      <c r="L4" s="266"/>
      <c r="M4" s="202"/>
      <c r="N4" s="265"/>
      <c r="O4" s="265"/>
    </row>
    <row r="5" spans="1:2" ht="1.5" customHeight="1">
      <c r="A5" s="14"/>
      <c r="B5" s="14"/>
    </row>
    <row r="6" spans="1:2" ht="1.5" customHeight="1">
      <c r="A6" s="14"/>
      <c r="B6" s="14"/>
    </row>
    <row r="7" spans="1:2" ht="1.5" customHeight="1">
      <c r="A7" s="14"/>
      <c r="B7" s="14"/>
    </row>
    <row r="8" spans="1:15" ht="18.75" customHeight="1">
      <c r="A8" s="289" t="s">
        <v>50</v>
      </c>
      <c r="B8" s="289"/>
      <c r="C8" s="289"/>
      <c r="D8" s="200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</row>
    <row r="9" spans="1:2" ht="1.5" customHeight="1">
      <c r="A9" s="4"/>
      <c r="B9" s="4"/>
    </row>
    <row r="10" spans="1:16" ht="16.5" customHeight="1">
      <c r="A10" s="274" t="s">
        <v>46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100"/>
    </row>
    <row r="11" spans="1:16" ht="21" customHeight="1">
      <c r="A11" s="2"/>
      <c r="B11" s="274" t="s">
        <v>32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100"/>
    </row>
    <row r="12" spans="1:6" ht="11.25" customHeight="1">
      <c r="A12" s="221" t="s">
        <v>75</v>
      </c>
      <c r="B12" s="222"/>
      <c r="C12" s="222"/>
      <c r="D12" s="222"/>
      <c r="E12" s="222"/>
      <c r="F12" s="223"/>
    </row>
    <row r="13" spans="1:15" ht="18" customHeight="1">
      <c r="A13" s="6"/>
      <c r="B13" s="313" t="s">
        <v>29</v>
      </c>
      <c r="C13" s="314"/>
      <c r="D13" s="314"/>
      <c r="E13" s="314"/>
      <c r="F13" s="315"/>
      <c r="G13" s="224">
        <f>IF(AND(A13="x",A14="x"),"Attention, veuillez saisir une seule cellule, recommencez! ",IF(AND(A13="",A14=""),"ATTENTION ,veuillez saisir ci contre le calcul des congés payés ",""))</f>
      </c>
      <c r="H13" s="225"/>
      <c r="I13" s="225"/>
      <c r="J13" s="225"/>
      <c r="K13" s="225"/>
      <c r="L13" s="225"/>
      <c r="M13" s="225"/>
      <c r="N13" s="225"/>
      <c r="O13" s="225"/>
    </row>
    <row r="14" spans="1:16" ht="19.5" customHeight="1">
      <c r="A14" s="6" t="s">
        <v>49</v>
      </c>
      <c r="B14" s="316" t="s">
        <v>30</v>
      </c>
      <c r="C14" s="317"/>
      <c r="D14" s="317"/>
      <c r="E14" s="317"/>
      <c r="F14" s="318"/>
      <c r="G14" s="326" t="s">
        <v>76</v>
      </c>
      <c r="H14" s="327"/>
      <c r="I14" s="327"/>
      <c r="J14" s="327"/>
      <c r="K14" s="327"/>
      <c r="L14" s="327"/>
      <c r="M14" s="327"/>
      <c r="N14" s="327"/>
      <c r="O14" s="327"/>
      <c r="P14" s="101"/>
    </row>
    <row r="15" spans="2:14" ht="3.75" customHeight="1">
      <c r="B15" s="2"/>
      <c r="N15" s="3"/>
    </row>
    <row r="16" ht="3" customHeight="1">
      <c r="N16" s="3"/>
    </row>
    <row r="17" spans="1:16" ht="15.75">
      <c r="A17" s="251" t="s">
        <v>31</v>
      </c>
      <c r="B17" s="252"/>
      <c r="C17" s="252"/>
      <c r="D17" s="252"/>
      <c r="E17" s="252"/>
      <c r="F17" s="252"/>
      <c r="G17" s="253"/>
      <c r="I17" s="15"/>
      <c r="J17" s="1"/>
      <c r="K17" s="1"/>
      <c r="L17" s="1"/>
      <c r="M17" s="1"/>
      <c r="N17" s="1"/>
      <c r="O17" s="1"/>
      <c r="P17" s="102"/>
    </row>
    <row r="18" spans="1:15" ht="3.75" customHeight="1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8">
        <f>IF(AND(A13="x",A14=""),I26/10,IF(AND(A13="",A14="x"),(I26/110)*10,""))</f>
        <v>0</v>
      </c>
    </row>
    <row r="19" spans="1:16" ht="18.75" customHeight="1">
      <c r="A19" s="238" t="s">
        <v>23</v>
      </c>
      <c r="B19" s="239"/>
      <c r="C19" s="239"/>
      <c r="D19" s="239"/>
      <c r="E19" s="239"/>
      <c r="F19" s="239"/>
      <c r="G19" s="240"/>
      <c r="J19" s="16"/>
      <c r="K19" s="143" t="s">
        <v>20</v>
      </c>
      <c r="L19" s="17"/>
      <c r="M19" s="193"/>
      <c r="O19" s="10"/>
      <c r="P19" s="102"/>
    </row>
    <row r="20" spans="1:16" ht="21" customHeight="1">
      <c r="A20" s="276" t="s">
        <v>35</v>
      </c>
      <c r="B20" s="277"/>
      <c r="C20" s="277"/>
      <c r="D20" s="277"/>
      <c r="E20" s="277"/>
      <c r="F20" s="277"/>
      <c r="G20" s="278"/>
      <c r="I20" s="267" t="s">
        <v>42</v>
      </c>
      <c r="J20" s="268"/>
      <c r="K20" s="268"/>
      <c r="L20" s="268"/>
      <c r="M20" s="268"/>
      <c r="N20" s="268"/>
      <c r="O20" s="269"/>
      <c r="P20" s="102"/>
    </row>
    <row r="21" spans="1:16" ht="1.5" customHeight="1">
      <c r="A21" s="11"/>
      <c r="B21" s="11"/>
      <c r="C21" s="11"/>
      <c r="D21" s="11"/>
      <c r="E21" s="11"/>
      <c r="F21" s="11"/>
      <c r="G21" s="11"/>
      <c r="P21" s="102"/>
    </row>
    <row r="22" spans="1:15" ht="17.25" customHeight="1">
      <c r="A22" s="254" t="s">
        <v>24</v>
      </c>
      <c r="B22" s="255"/>
      <c r="C22" s="255"/>
      <c r="D22" s="255"/>
      <c r="E22" s="255"/>
      <c r="F22" s="197"/>
      <c r="G22" s="18" t="s">
        <v>3</v>
      </c>
      <c r="H22" s="137"/>
      <c r="I22" s="231" t="s">
        <v>34</v>
      </c>
      <c r="J22" s="232"/>
      <c r="K22" s="232"/>
      <c r="L22" s="233"/>
      <c r="M22" s="194"/>
      <c r="N22" s="272" t="s">
        <v>33</v>
      </c>
      <c r="O22" s="273"/>
    </row>
    <row r="23" spans="1:15" ht="18" customHeight="1">
      <c r="A23" s="290" t="s">
        <v>39</v>
      </c>
      <c r="B23" s="290"/>
      <c r="C23" s="290"/>
      <c r="D23" s="290"/>
      <c r="E23" s="290"/>
      <c r="F23" s="241" t="s">
        <v>38</v>
      </c>
      <c r="G23" s="242"/>
      <c r="H23" s="137"/>
      <c r="I23" s="237" t="str">
        <f>IF(AND(A13="x",A14=""),"Salaires BRUT versés /mois Hors Heures comp/supp",IF(AND(A13="",A14="x"),"Salaires BRUT mensualisés",""))</f>
        <v>Salaires BRUT mensualisés</v>
      </c>
      <c r="J23" s="247" t="str">
        <f>IF(AND(A13="x",A14=""),"1ère formule de Calcul (Sur salaire Brut): 11%",IF(AND(A13="",A14="x"),"Dont les congés payés inclus",""))</f>
        <v>Dont les congés payés inclus</v>
      </c>
      <c r="K23" s="247" t="str">
        <f>IF(AND(A13="x",A14=""),"Heures comp/supp-Indiquer le montant du salaire BRUT correspondant uniquement aux Heures complet/ou suppl versées/mois",IF(AND(A13="",A14="x"),"Heures comp/supp-Indiquer le montant du salaire BRUT correspondant uniquement aux Heures complet/ou suppl versées/mois",""))</f>
        <v>Heures comp/supp-Indiquer le montant du salaire BRUT correspondant uniquement aux Heures complet/ou suppl versées/mois</v>
      </c>
      <c r="L23" s="247">
        <f>IF(AND(A13="x",A14=""),"1ère formule de Calcul (Sur les heures comp/supp): 11%",IF(AND(A13="",A14="x"),"",""))</f>
      </c>
      <c r="M23" s="215" t="str">
        <f>IF(AND(A13="x",A14=""),"Autre formule de calcul",IF(AND(A13="",A14="x"),"Montant Congés à percevoir heures comp ou supp  à 11%",""))</f>
        <v>Montant Congés à percevoir heures comp ou supp  à 11%</v>
      </c>
      <c r="N23" s="270" t="s">
        <v>4</v>
      </c>
      <c r="O23" s="271"/>
    </row>
    <row r="24" spans="1:15" ht="80.25" customHeight="1">
      <c r="A24" s="290"/>
      <c r="B24" s="290"/>
      <c r="C24" s="303"/>
      <c r="D24" s="303"/>
      <c r="E24" s="290"/>
      <c r="F24" s="243"/>
      <c r="G24" s="244"/>
      <c r="H24" s="137"/>
      <c r="I24" s="237"/>
      <c r="J24" s="248"/>
      <c r="K24" s="248"/>
      <c r="L24" s="248"/>
      <c r="M24" s="216"/>
      <c r="N24" s="270"/>
      <c r="O24" s="271"/>
    </row>
    <row r="25" spans="1:15" ht="14.25" customHeight="1">
      <c r="A25" s="208">
        <f>IF(AND(J$14="oui",O91="oui"),"Poursuite sur + de 3 années-Report CP","")</f>
      </c>
      <c r="B25" s="209"/>
      <c r="C25" s="209"/>
      <c r="D25" s="210"/>
      <c r="E25" s="211"/>
      <c r="F25" s="229">
        <f>IF(AND(J14="oui",O91="non"),"Le -non- est activé en cellule O91,modifié en -oui-, si report des CP ","")</f>
      </c>
      <c r="G25" s="230"/>
      <c r="H25" s="230"/>
      <c r="I25" s="230"/>
      <c r="J25" s="230"/>
      <c r="K25" s="230"/>
      <c r="L25" s="230"/>
      <c r="M25" s="111"/>
      <c r="N25" s="139" t="s">
        <v>5</v>
      </c>
      <c r="O25" s="112"/>
    </row>
    <row r="26" spans="1:16" ht="15.75" customHeight="1">
      <c r="A26" s="36" t="s">
        <v>19</v>
      </c>
      <c r="B26" s="37"/>
      <c r="C26" s="164" t="str">
        <f>IF(ISBLANK(J19),"janvier",J19)</f>
        <v>janvier</v>
      </c>
      <c r="D26" s="80"/>
      <c r="E26" s="162">
        <v>0</v>
      </c>
      <c r="F26" s="219"/>
      <c r="G26" s="220"/>
      <c r="H26" s="137"/>
      <c r="I26" s="51"/>
      <c r="J26" s="212">
        <f>IF(AND($A$13="x",$A$14=""),$I$26*11/100,IF(AND($A$13="",$A$14="x"),(($I$26/1.1)*11%),""))</f>
        <v>0</v>
      </c>
      <c r="K26" s="23"/>
      <c r="L26" s="22">
        <f>IF(AND($A$13="x",$A$14=""),$K$26*11/100,"")</f>
      </c>
      <c r="M26" s="24">
        <f>IF(AND($A$13="x",$A$14=""),($I$26+$K$26)/10,IF(AND($A$13="",$A$14="x"),$K$26*11/100,""))</f>
        <v>0</v>
      </c>
      <c r="N26" s="113" t="s">
        <v>6</v>
      </c>
      <c r="O26" s="25">
        <f>ROUNDUP(O25/26,2)</f>
        <v>0</v>
      </c>
      <c r="P26" s="102"/>
    </row>
    <row r="27" spans="1:16" ht="14.25">
      <c r="A27" s="20" t="s">
        <v>18</v>
      </c>
      <c r="B27" s="21"/>
      <c r="C27" s="84" t="str">
        <f>IF(ISBLANK(J$19),"février",(_XLL.MOIS.DECALER(C26,1)))</f>
        <v>février</v>
      </c>
      <c r="D27" s="80"/>
      <c r="E27" s="87">
        <v>0</v>
      </c>
      <c r="F27" s="219"/>
      <c r="G27" s="220"/>
      <c r="H27" s="137"/>
      <c r="I27" s="51"/>
      <c r="J27" s="212">
        <f>IF(AND($A$13="x",$A$14=""),$I$27*11/100,IF(AND($A$13="",$A$14="x"),(($I$27/1.1)*11%),""))</f>
        <v>0</v>
      </c>
      <c r="K27" s="23"/>
      <c r="L27" s="22">
        <f>IF(AND($A$13="x",$A$14=""),$K$27*11/100,"")</f>
      </c>
      <c r="M27" s="24">
        <f>IF(AND($A$13="x",$A$14=""),($I$27+$K$27)/10,IF(AND($A$13="",$A$14="x"),$K$27*11/100,""))</f>
        <v>0</v>
      </c>
      <c r="N27" s="114" t="s">
        <v>41</v>
      </c>
      <c r="O27" s="115">
        <f>F41*O26</f>
        <v>0</v>
      </c>
      <c r="P27" s="214"/>
    </row>
    <row r="28" spans="1:16" ht="15.75">
      <c r="A28" s="20" t="s">
        <v>17</v>
      </c>
      <c r="B28" s="21"/>
      <c r="C28" s="84" t="str">
        <f>IF(ISBLANK(J$19),"mars",(_XLL.MOIS.DECALER(C27,1)))</f>
        <v>mars</v>
      </c>
      <c r="D28" s="80"/>
      <c r="E28" s="87">
        <v>0</v>
      </c>
      <c r="F28" s="219"/>
      <c r="G28" s="220"/>
      <c r="H28" s="137"/>
      <c r="I28" s="51"/>
      <c r="J28" s="212">
        <f>IF(AND($A$13="x",$A$14=""),$I$28*11/100,IF(AND($A$13="",$A$14="x"),(($I$28/1.1)*11%),""))</f>
        <v>0</v>
      </c>
      <c r="K28" s="23"/>
      <c r="L28" s="22">
        <f>IF(AND($A$13="x",$A$14=""),$K$28*11/100,"")</f>
      </c>
      <c r="M28" s="24">
        <f>IF(AND($A$13="x",$A$14=""),($I$28+$K$28)/10,IF(AND($A$13="",$A$14="x"),$K$28*11/100,""))</f>
        <v>0</v>
      </c>
      <c r="N28" s="116" t="s">
        <v>65</v>
      </c>
      <c r="O28" s="117">
        <f>(E43-E40)*O26</f>
        <v>0</v>
      </c>
      <c r="P28" s="214">
        <f>IF(AND(valeur_cp_non_pris&lt;0,O33="oui"),-valeur_cp_non_pris,0)</f>
        <v>0</v>
      </c>
    </row>
    <row r="29" spans="1:16" ht="14.25">
      <c r="A29" s="20" t="s">
        <v>16</v>
      </c>
      <c r="B29" s="21"/>
      <c r="C29" s="84" t="str">
        <f>IF(ISBLANK(J$19),"avril",(_XLL.MOIS.DECALER(C28,1)))</f>
        <v>avril</v>
      </c>
      <c r="D29" s="80"/>
      <c r="E29" s="87">
        <v>0</v>
      </c>
      <c r="F29" s="219"/>
      <c r="G29" s="220"/>
      <c r="H29" s="137"/>
      <c r="I29" s="51"/>
      <c r="J29" s="212">
        <f>IF(AND($A$13="x",$A$14=""),$I$29*11/100,IF(AND($A$13="",$A$14="x"),(($I$29/1.1)*11%),""))</f>
        <v>0</v>
      </c>
      <c r="K29" s="23"/>
      <c r="L29" s="22">
        <f>IF(AND($A$13="x",$A$14=""),$K$29*11/100,"")</f>
      </c>
      <c r="M29" s="24">
        <f>IF(AND($A$13="x",$A$14=""),($I$29+$K$29)/10,IF(AND($A$13="",$A$14="x"),$K$29*11/100,""))</f>
        <v>0</v>
      </c>
      <c r="N29" s="118" t="s">
        <v>40</v>
      </c>
      <c r="O29" s="26">
        <f>F40*O26</f>
        <v>0</v>
      </c>
      <c r="P29" s="214"/>
    </row>
    <row r="30" spans="1:16" ht="14.25">
      <c r="A30" s="20" t="s">
        <v>15</v>
      </c>
      <c r="B30" s="21"/>
      <c r="C30" s="84" t="str">
        <f>IF(ISBLANK(J$19),"mai",(_XLL.MOIS.DECALER(C29,1)))</f>
        <v>mai</v>
      </c>
      <c r="D30" s="80"/>
      <c r="E30" s="87">
        <v>0</v>
      </c>
      <c r="F30" s="219"/>
      <c r="G30" s="220"/>
      <c r="H30" s="137"/>
      <c r="I30" s="51"/>
      <c r="J30" s="212">
        <f>IF(AND($A$13="x",$A$14=""),$I$30*11/100,IF(AND($A$13="",$A$14="x"),(($I$30/1.1)*11%),""))</f>
        <v>0</v>
      </c>
      <c r="K30" s="23"/>
      <c r="L30" s="22">
        <f>IF(AND($A$13="x",$A$14=""),$K$30*11/100,"")</f>
      </c>
      <c r="M30" s="24">
        <f>IF(AND($A$13="x",$A$14=""),($I$30+$K$30)/10,IF(AND($A$13="",$A$14="x"),$K$30*11/100,""))</f>
        <v>0</v>
      </c>
      <c r="N30" s="131"/>
      <c r="O30" s="132"/>
      <c r="P30" s="214"/>
    </row>
    <row r="31" spans="1:16" ht="14.25">
      <c r="A31" s="20" t="s">
        <v>14</v>
      </c>
      <c r="B31" s="21"/>
      <c r="C31" s="84" t="str">
        <f>IF(ISBLANK(J$19),"juin",(_XLL.MOIS.DECALER(C30,1)))</f>
        <v>juin</v>
      </c>
      <c r="D31" s="80"/>
      <c r="E31" s="87">
        <v>0</v>
      </c>
      <c r="F31" s="219"/>
      <c r="G31" s="220"/>
      <c r="H31" s="137"/>
      <c r="I31" s="51"/>
      <c r="J31" s="212">
        <f>IF(AND($A$13="x",$A$14=""),$I$31*11/100,IF(AND($A$13="",$A$14="x"),(($I$31/1.1)*11%),""))</f>
        <v>0</v>
      </c>
      <c r="K31" s="23"/>
      <c r="L31" s="22">
        <f>IF(AND($A$13="x",$A$14=""),$K$31*11/100,"")</f>
      </c>
      <c r="M31" s="24">
        <f>IF(AND($A$13="x",$A$14=""),($I$31+$K$31)/10,IF(AND($A$13="",$A$14="x"),$K$31*11/100,""))</f>
        <v>0</v>
      </c>
      <c r="N31" s="121" t="s">
        <v>67</v>
      </c>
      <c r="O31" s="119">
        <f>IF(P32&lt;=0,0,(total_cp_acquis-valeur_cp_pris)+(valeur_cp_pris-O32))</f>
        <v>0</v>
      </c>
      <c r="P31" s="214"/>
    </row>
    <row r="32" spans="1:16" ht="14.25">
      <c r="A32" s="20" t="s">
        <v>13</v>
      </c>
      <c r="B32" s="21"/>
      <c r="C32" s="84" t="str">
        <f>IF(ISBLANK(J$19),"juillet",(_XLL.MOIS.DECALER(C31,1)))</f>
        <v>juillet</v>
      </c>
      <c r="D32" s="80"/>
      <c r="E32" s="87">
        <v>0</v>
      </c>
      <c r="F32" s="219"/>
      <c r="G32" s="220"/>
      <c r="H32" s="137"/>
      <c r="I32" s="51"/>
      <c r="J32" s="212">
        <f>IF(AND($A$13="x",$A$14=""),$I$32*11/100,IF(AND($A$13="",$A$14="x"),(($I$32/1.1)*11%),""))</f>
        <v>0</v>
      </c>
      <c r="K32" s="23"/>
      <c r="L32" s="22">
        <f>IF(AND($A$13="x",$A$14=""),$K$32*11/100,"")</f>
      </c>
      <c r="M32" s="24">
        <f>IF(AND($A$13="x",$A$14=""),($I$32+$K$32)/10,IF(AND($A$13="",$A$14="x"),$K$32*11/100,""))</f>
        <v>0</v>
      </c>
      <c r="N32" s="122" t="s">
        <v>66</v>
      </c>
      <c r="O32" s="120">
        <f>IF(total_cp_10_cent&gt;K40,total_cp_10_cent,K40)</f>
        <v>0</v>
      </c>
      <c r="P32" s="103">
        <f>(total_cp_acquis-valeur_cp_pris)+(valeur_cp_pris-total_cp_10_cent)</f>
        <v>0</v>
      </c>
    </row>
    <row r="33" spans="1:16" ht="15.75">
      <c r="A33" s="20" t="s">
        <v>12</v>
      </c>
      <c r="B33" s="21"/>
      <c r="C33" s="84" t="str">
        <f>IF(ISBLANK(J$19),"aout",(_XLL.MOIS.DECALER(C32,1)))</f>
        <v>aout</v>
      </c>
      <c r="D33" s="80"/>
      <c r="E33" s="87">
        <v>0</v>
      </c>
      <c r="F33" s="219"/>
      <c r="G33" s="220"/>
      <c r="H33" s="137"/>
      <c r="I33" s="51"/>
      <c r="J33" s="212">
        <f>IF(AND($A$13="x",$A$14=""),$I$33*11/100,IF(AND($A$13="",$A$14="x"),(($I$33/1.1)*11%),""))</f>
        <v>0</v>
      </c>
      <c r="K33" s="23"/>
      <c r="L33" s="22">
        <f>IF(AND($A$13="x",$A$14=""),$K$33*11/100,"")</f>
      </c>
      <c r="M33" s="24">
        <f>IF(AND($A$13="x",$A$14=""),($I$33+$K$33)/10,IF(AND($A$13="",$A$14="x"),$K$33*11/100,""))</f>
        <v>0</v>
      </c>
      <c r="N33" s="133" t="s">
        <v>45</v>
      </c>
      <c r="O33" s="28" t="s">
        <v>2</v>
      </c>
      <c r="P33" s="214"/>
    </row>
    <row r="34" spans="1:16" ht="14.25">
      <c r="A34" s="20" t="s">
        <v>11</v>
      </c>
      <c r="B34" s="21"/>
      <c r="C34" s="84" t="str">
        <f>IF(ISBLANK(J$19),"septembre",(_XLL.MOIS.DECALER(C33,1)))</f>
        <v>septembre</v>
      </c>
      <c r="D34" s="80"/>
      <c r="E34" s="87">
        <v>0</v>
      </c>
      <c r="F34" s="219"/>
      <c r="G34" s="220"/>
      <c r="H34" s="137"/>
      <c r="I34" s="51"/>
      <c r="J34" s="212">
        <f>IF(AND($A$13="x",$A$14=""),$I$34*11/100,IF(AND($A$13="",$A$14="x"),(($I$34/1.1)*11%),""))</f>
        <v>0</v>
      </c>
      <c r="K34" s="23"/>
      <c r="L34" s="22">
        <f>IF(AND($A$13="x",$A$14=""),$K$34*11/100,"")</f>
      </c>
      <c r="M34" s="24">
        <f>IF(AND($A$13="x",$A$14=""),($I$34+$K$34)/10,IF(AND($A$13="",$A$14="x"),$K$34*11/100,""))</f>
        <v>0</v>
      </c>
      <c r="N34" s="134"/>
      <c r="P34" s="214"/>
    </row>
    <row r="35" spans="1:16" ht="14.25" customHeight="1">
      <c r="A35" s="20" t="s">
        <v>8</v>
      </c>
      <c r="B35" s="21"/>
      <c r="C35" s="84" t="str">
        <f>IF(ISBLANK(J$19),"octobre",(_XLL.MOIS.DECALER(C34,1)))</f>
        <v>octobre</v>
      </c>
      <c r="D35" s="80"/>
      <c r="E35" s="87">
        <v>0</v>
      </c>
      <c r="F35" s="219"/>
      <c r="G35" s="220"/>
      <c r="H35" s="137"/>
      <c r="I35" s="51"/>
      <c r="J35" s="212">
        <f>IF(AND($A$13="x",$A$14=""),$I$35*11/100,IF(AND($A$13="",$A$14="x"),(($I$35/1.1)*11%),""))</f>
        <v>0</v>
      </c>
      <c r="K35" s="23"/>
      <c r="L35" s="22">
        <f>IF(AND($A$13="x",$A$14=""),$K$35*11/100,"")</f>
      </c>
      <c r="M35" s="24">
        <f>IF(AND($A$13="x",$A$14=""),($I$35+$K$35)/10,IF(AND($A$13="",$A$14="x"),$K$35*11/100,""))</f>
        <v>0</v>
      </c>
      <c r="N35" s="136"/>
      <c r="O35" s="137"/>
      <c r="P35" s="104"/>
    </row>
    <row r="36" spans="1:16" ht="15">
      <c r="A36" s="20" t="s">
        <v>9</v>
      </c>
      <c r="B36" s="21"/>
      <c r="C36" s="84" t="str">
        <f>IF(ISBLANK(J$19),"novembre",(_XLL.MOIS.DECALER(C35,1)))</f>
        <v>novembre</v>
      </c>
      <c r="D36" s="80"/>
      <c r="E36" s="87">
        <v>0</v>
      </c>
      <c r="F36" s="219"/>
      <c r="G36" s="220"/>
      <c r="H36" s="137"/>
      <c r="I36" s="51"/>
      <c r="J36" s="212">
        <f>IF(AND($A$13="x",$A$14=""),$I$36*11/100,IF(AND($A$13="",$A$14="x"),(($I$36/1.1)*11%),""))</f>
        <v>0</v>
      </c>
      <c r="K36" s="23"/>
      <c r="L36" s="22">
        <f>IF(AND($A$13="x",$A$14=""),$K$36*11/100,"")</f>
      </c>
      <c r="M36" s="24">
        <f>IF(AND($A$13="x",$A$14=""),($I$36+$K$36)/10,IF(AND($A$13="",$A$14="x"),$K$36*11/100,""))</f>
        <v>0</v>
      </c>
      <c r="N36" s="235" t="s">
        <v>43</v>
      </c>
      <c r="O36" s="325"/>
      <c r="P36" s="102"/>
    </row>
    <row r="37" spans="1:16" ht="14.25">
      <c r="A37" s="30" t="s">
        <v>10</v>
      </c>
      <c r="B37" s="31"/>
      <c r="C37" s="84" t="str">
        <f>IF(ISBLANK(J$19),"décembre",(_XLL.MOIS.DECALER(C36,1)))</f>
        <v>décembre</v>
      </c>
      <c r="D37" s="85"/>
      <c r="E37" s="88">
        <v>0</v>
      </c>
      <c r="F37" s="219"/>
      <c r="G37" s="220"/>
      <c r="H37" s="137"/>
      <c r="I37" s="51"/>
      <c r="J37" s="212">
        <f>IF(AND($A$13="x",$A$14=""),$I$37*11/100,IF(AND($A$13="",$A$14="x"),(($I$37/1.1)*11%),""))</f>
        <v>0</v>
      </c>
      <c r="K37" s="33"/>
      <c r="L37" s="22">
        <f>IF(AND($A$13="x",$A$14=""),$K$37*11/100,"")</f>
      </c>
      <c r="M37" s="24">
        <f>IF(AND($A$13="x",$A$14=""),($I$37+$K$37)/10,IF(AND($A$13="",$A$14="x"),$K$37*11/100,""))</f>
        <v>0</v>
      </c>
      <c r="N37" s="235" t="s">
        <v>44</v>
      </c>
      <c r="O37" s="325"/>
      <c r="P37" s="214"/>
    </row>
    <row r="38" spans="1:16" ht="15" customHeight="1">
      <c r="A38" s="287" t="str">
        <f>IF(AND(A13="x",A14=""),"Régularisation Congés payés fin d'année de référence  (Autre formule 10% sur CP)",IF(AND(A13="",A14="x"),"Total des Cp inclus + total CP Hrs comp/sup (cellule I)",""))</f>
        <v>Total des Cp inclus + total CP Hrs comp/sup (cellule I)</v>
      </c>
      <c r="B38" s="288"/>
      <c r="C38" s="288"/>
      <c r="D38" s="288"/>
      <c r="E38" s="288"/>
      <c r="F38" s="288"/>
      <c r="G38" s="288"/>
      <c r="H38" s="288"/>
      <c r="I38" s="288"/>
      <c r="J38" s="72">
        <f>IF(AND($A$13="x",$A$14=""),"",IF(AND($A$13="",$A$14="x"),($J$26+$J$27+$J$28+$J$29+$J$30+$J$31+$J$32+$J$33+$J$34+$J$35+$J$36+$J$37),""))</f>
        <v>0</v>
      </c>
      <c r="K38" s="199" t="str">
        <f>IF(AND($A$13="x",$A$14=""),"",IF(AND($A$13="",$A$14="x"),"Total CP= Hrs Comp/Supp",""))</f>
        <v>Total CP= Hrs Comp/Supp</v>
      </c>
      <c r="L38" s="199"/>
      <c r="M38" s="35">
        <f>IF(AND($A$13="x",$A$14=""),($M$26+$M$27+$M$28+$M$29+$M$30+$M$31+$M$32+$M$33+$M$34+$M$35+$M$36+$M$37)/10,IF(AND($A$13="",$A$14="x"),$M$26+$M$27+$M$28+$M$29+$M$30+$M$31+$M$32+$M$33+$M$34+$M$35+$M$36+$M$37,""))</f>
        <v>0</v>
      </c>
      <c r="N38" s="280" t="s">
        <v>68</v>
      </c>
      <c r="O38" s="300">
        <f>IF(AND(O33="oui",valeur_cp_non_pris&gt;0),O31,IF(AND(O33="non",valeur_cp_non_pris&lt;0),O31,valeur_cp_non_pris+O31))+IF(AND(valeur_cp_non_pris&lt;0,O33="oui"),O31,0)</f>
        <v>0</v>
      </c>
      <c r="P38" s="293"/>
    </row>
    <row r="39" spans="1:16" ht="15" customHeight="1">
      <c r="A39" s="256" t="s">
        <v>55</v>
      </c>
      <c r="B39" s="257"/>
      <c r="C39" s="257"/>
      <c r="D39" s="258"/>
      <c r="E39" s="177">
        <f>'Explication déduction CP'!E26</f>
        <v>0</v>
      </c>
      <c r="G39" s="124"/>
      <c r="N39" s="280"/>
      <c r="O39" s="300"/>
      <c r="P39" s="293"/>
    </row>
    <row r="40" spans="1:16" ht="14.25" customHeight="1">
      <c r="A40" s="166" t="s">
        <v>45</v>
      </c>
      <c r="B40" s="167"/>
      <c r="C40" s="176"/>
      <c r="D40" s="176"/>
      <c r="E40" s="172">
        <f>IF(calcul_cp!$O$91="OUI",calcul_cp!$F$99,0)</f>
        <v>0</v>
      </c>
      <c r="F40" s="173">
        <f>SUM(F26:G37)</f>
        <v>0</v>
      </c>
      <c r="G40" s="174" t="s">
        <v>69</v>
      </c>
      <c r="H40" s="38" t="str">
        <f>G40</f>
        <v>CP pris</v>
      </c>
      <c r="I40" s="264" t="s">
        <v>37</v>
      </c>
      <c r="J40" s="324">
        <f>IF(AND($A$13="x",$A$14=""),($J$26+$J$27+$J$28+$J$29+$J$30+$J$31+$J$32+$J$33+$J$34+$J$35+$J$36+$J$37+$L$26+$L$27+$L$28+$L$29+$L$30+$L$31+$L$32+$L$33+$L$34+$L$35+$L$36+$L$37),IF(AND($A$13="",$A$14="x"),ROUNDUP($J$38+$M$38,2),""))</f>
        <v>0</v>
      </c>
      <c r="K40" s="249">
        <f>IF(AND($A$13="x",$A$14=""),($J$26+$J$27+$J$28+$J$29+$J$30+$J$31+$J$32+$J$33+$J$34+$J$35+$J$36+$J$37),IF(AND($A$13="",$A$14="x"),ROUNDUP($J$38+$M$38,2),""))</f>
        <v>0</v>
      </c>
      <c r="M40" s="283">
        <f>IF(AND(A13="x",A14=""),($M$26+$M$27+$M$28+$M$29+$M$30+$M$31+$M$32+$M$33+$M$34+$M$35+M36+M37+M38),IF(AND(A13="",A14="x"),"",""))</f>
      </c>
      <c r="N40" s="280"/>
      <c r="O40" s="294">
        <f>IF(AND(F$41&lt;0,O33="oui"),"Report sur l'année suivante",IF(AND(F$41&lt;0,O33="non"),-valeur_cp_non_pris,""))</f>
      </c>
      <c r="P40" s="293"/>
    </row>
    <row r="41" spans="1:16" ht="14.25">
      <c r="A41" s="245" t="s">
        <v>21</v>
      </c>
      <c r="B41" s="246"/>
      <c r="C41" s="176">
        <f>SUM(E26:E37)</f>
        <v>0</v>
      </c>
      <c r="D41" s="176">
        <f>ROUNDUP(IF(C41&gt;29,30,IF(C41&gt;30,30,C41)),0)</f>
        <v>0</v>
      </c>
      <c r="E41" s="40">
        <f>IF(ISBLANK(E39),(ROUNDUP(D41,2)),(ROUNDUP((D41-E39),0)))</f>
        <v>0</v>
      </c>
      <c r="F41" s="152">
        <f>E43-F40</f>
        <v>0</v>
      </c>
      <c r="G41" s="150" t="str">
        <f>IF(F41&lt;0,"CP-NON-acquis","Reste à prendre")</f>
        <v>Reste à prendre</v>
      </c>
      <c r="H41" s="137">
        <f>IF(AND($A$13="x",$A$14=""),(((J26+J27+J28+J29+J30+J31+J32+J33+J34+J35+J36+J37)/10)+(J26+J27+J28+J29+J30+J31+J32+J33+J34+J35+J36+J37)),IF(AND($A$13="",$A$14="x"),(J26+J27+J28+J29+J30+J31+J32+J33+J34+J35+J36+J37),""))</f>
        <v>0</v>
      </c>
      <c r="I41" s="264"/>
      <c r="J41" s="324"/>
      <c r="K41" s="249"/>
      <c r="M41" s="284"/>
      <c r="N41" s="308">
        <f>IF(AND($F$41&lt;0,valeur_cp_non_pris&lt;0,O33="non"),"Remboursement trop perçu à l'employeur (régularisation plus favorable reste due) ","")</f>
      </c>
      <c r="O41" s="294"/>
      <c r="P41" s="293"/>
    </row>
    <row r="42" spans="1:16" ht="14.25">
      <c r="A42" s="168" t="s">
        <v>7</v>
      </c>
      <c r="B42" s="169"/>
      <c r="C42" s="170"/>
      <c r="D42" s="170"/>
      <c r="E42" s="77"/>
      <c r="H42" s="137"/>
      <c r="I42" s="41"/>
      <c r="J42" s="98"/>
      <c r="K42" s="98"/>
      <c r="L42" s="98"/>
      <c r="M42" s="98"/>
      <c r="N42" s="309"/>
      <c r="O42" s="295"/>
      <c r="P42" s="105"/>
    </row>
    <row r="43" spans="1:16" ht="14.25">
      <c r="A43" s="226" t="s">
        <v>77</v>
      </c>
      <c r="B43" s="227"/>
      <c r="C43" s="227"/>
      <c r="D43" s="228"/>
      <c r="E43" s="175">
        <f>IF($E$41&gt;30,30,IF($E$41+$E$42&gt;32,32,$E$41+$E$42))+$E$40</f>
        <v>0</v>
      </c>
      <c r="H43" s="137"/>
      <c r="I43" s="282" t="s">
        <v>64</v>
      </c>
      <c r="J43" s="282"/>
      <c r="K43" s="282"/>
      <c r="L43" s="282"/>
      <c r="M43" s="282"/>
      <c r="N43" s="282"/>
      <c r="O43" s="282"/>
      <c r="P43" s="106"/>
    </row>
    <row r="44" spans="9:16" ht="7.5" customHeight="1">
      <c r="I44" s="1"/>
      <c r="J44" s="5"/>
      <c r="K44" s="1"/>
      <c r="L44" s="1"/>
      <c r="M44" s="1"/>
      <c r="N44" s="1"/>
      <c r="O44" s="1"/>
      <c r="P44" s="102"/>
    </row>
    <row r="45" spans="1:16" ht="5.25" customHeight="1">
      <c r="A45" s="12"/>
      <c r="B45" s="12"/>
      <c r="C45" s="12"/>
      <c r="D45" s="12"/>
      <c r="E45" s="12"/>
      <c r="F45" s="12"/>
      <c r="G45" s="13"/>
      <c r="I45" s="1"/>
      <c r="J45" s="1"/>
      <c r="K45" s="1"/>
      <c r="L45" s="1"/>
      <c r="M45" s="1"/>
      <c r="N45" s="1"/>
      <c r="O45" s="1"/>
      <c r="P45" s="107"/>
    </row>
    <row r="46" spans="1:15" ht="18.75" customHeight="1">
      <c r="A46" s="238" t="s">
        <v>28</v>
      </c>
      <c r="B46" s="239"/>
      <c r="C46" s="239"/>
      <c r="D46" s="239"/>
      <c r="E46" s="239"/>
      <c r="F46" s="239"/>
      <c r="G46" s="240"/>
      <c r="H46" s="137"/>
      <c r="J46" s="42"/>
      <c r="K46" s="160" t="s">
        <v>20</v>
      </c>
      <c r="L46" s="42"/>
      <c r="M46" s="140"/>
      <c r="O46" s="137"/>
    </row>
    <row r="47" spans="1:15" ht="6.75" customHeight="1">
      <c r="A47" s="43"/>
      <c r="B47" s="43"/>
      <c r="C47" s="43"/>
      <c r="D47" s="43"/>
      <c r="E47" s="43"/>
      <c r="F47" s="43"/>
      <c r="G47" s="43"/>
      <c r="H47" s="137"/>
      <c r="I47" s="137"/>
      <c r="J47" s="137"/>
      <c r="K47" s="137"/>
      <c r="L47" s="137"/>
      <c r="M47" s="137"/>
      <c r="N47" s="137"/>
      <c r="O47" s="137"/>
    </row>
    <row r="48" spans="1:15" ht="21" customHeight="1">
      <c r="A48" s="304" t="s">
        <v>35</v>
      </c>
      <c r="B48" s="305"/>
      <c r="C48" s="305"/>
      <c r="D48" s="305"/>
      <c r="E48" s="305"/>
      <c r="F48" s="305"/>
      <c r="G48" s="306"/>
      <c r="H48" s="137"/>
      <c r="I48" s="267" t="s">
        <v>36</v>
      </c>
      <c r="J48" s="268"/>
      <c r="K48" s="268"/>
      <c r="L48" s="268"/>
      <c r="M48" s="268"/>
      <c r="N48" s="268"/>
      <c r="O48" s="269"/>
    </row>
    <row r="49" spans="1:15" ht="18.75" customHeight="1" hidden="1">
      <c r="A49" s="137"/>
      <c r="B49" s="137"/>
      <c r="C49" s="137"/>
      <c r="D49" s="137"/>
      <c r="E49" s="137"/>
      <c r="F49" s="137"/>
      <c r="G49" s="137"/>
      <c r="H49" s="137"/>
      <c r="I49" s="137"/>
      <c r="J49" s="44">
        <f>SUMPRODUCT(J54:J66)</f>
        <v>0</v>
      </c>
      <c r="K49" s="137"/>
      <c r="L49" s="45" t="e">
        <f>(((L54+L55+L56+L57+L58+L59+L60+L61+L62+L63+L64+L65+L66)/10)+(L54+L55+L56+L57+L58+L59+L60+L61+L62+L63+L64+L65+L66))</f>
        <v>#VALUE!</v>
      </c>
      <c r="M49" s="144"/>
      <c r="N49" s="137"/>
      <c r="O49" s="137"/>
    </row>
    <row r="50" spans="1:15" ht="2.25" customHeight="1">
      <c r="A50" s="43"/>
      <c r="B50" s="43"/>
      <c r="C50" s="43"/>
      <c r="D50" s="43"/>
      <c r="E50" s="43"/>
      <c r="F50" s="43"/>
      <c r="G50" s="43"/>
      <c r="H50" s="137"/>
      <c r="I50" s="137"/>
      <c r="J50" s="44"/>
      <c r="K50" s="137"/>
      <c r="L50" s="46"/>
      <c r="M50" s="46"/>
      <c r="N50" s="137"/>
      <c r="O50" s="137"/>
    </row>
    <row r="51" spans="1:16" ht="20.25" customHeight="1">
      <c r="A51" s="254" t="s">
        <v>24</v>
      </c>
      <c r="B51" s="255"/>
      <c r="C51" s="255"/>
      <c r="D51" s="255"/>
      <c r="E51" s="255"/>
      <c r="F51" s="197"/>
      <c r="G51" s="18" t="s">
        <v>2</v>
      </c>
      <c r="H51" s="137"/>
      <c r="I51" s="231" t="s">
        <v>34</v>
      </c>
      <c r="J51" s="232"/>
      <c r="K51" s="232"/>
      <c r="L51" s="233"/>
      <c r="M51" s="195"/>
      <c r="N51" s="310" t="s">
        <v>33</v>
      </c>
      <c r="O51" s="273"/>
      <c r="P51" s="102"/>
    </row>
    <row r="52" spans="1:16" ht="17.25" customHeight="1">
      <c r="A52" s="290" t="s">
        <v>1</v>
      </c>
      <c r="B52" s="290"/>
      <c r="C52" s="290"/>
      <c r="D52" s="290"/>
      <c r="E52" s="290"/>
      <c r="F52" s="241" t="s">
        <v>0</v>
      </c>
      <c r="G52" s="242"/>
      <c r="H52" s="137"/>
      <c r="I52" s="237" t="str">
        <f>IF(AND(A13="x",A14=""),"Salaires BRUT versés /mois Hors Heures comp/supp",IF(AND(A13="",A14="x"),"Salaires BRUT mensualisés",""))</f>
        <v>Salaires BRUT mensualisés</v>
      </c>
      <c r="J52" s="247" t="str">
        <f>IF(AND(A13="x",A14=""),"1ère formule de Calcul (Sur salaire Brut): 11%",IF(AND(A13="",A14="x"),"Dont les congés payés inclus",""))</f>
        <v>Dont les congés payés inclus</v>
      </c>
      <c r="K52" s="247" t="str">
        <f>IF(AND(A13="x",A14=""),"Heures comp/supp-Indiquer le montant du salaire BRUT correspondant uniquement aux Heures complet/ou suppl versées/mois",IF(AND(A13="",A14="x"),"Heures comp/supp-Indiquer le montant du salaire BRUT correspondant uniquement aux Heures complet/ou suppl versées/mois",""))</f>
        <v>Heures comp/supp-Indiquer le montant du salaire BRUT correspondant uniquement aux Heures complet/ou suppl versées/mois</v>
      </c>
      <c r="L52" s="247">
        <f>IF(AND(A13="x",A14=""),"1ère formule de Calcul (Sur les heures comp/supp): 11%",IF(AND(A13="",A14="x"),"",""))</f>
      </c>
      <c r="M52" s="215" t="str">
        <f>IF(AND(A13="x",A14=""),"Autre formule de calcul",IF(AND(A13="",A14="x"),"Montant Congés à percevoir heures comp ou supp  à 11%",""))</f>
        <v>Montant Congés à percevoir heures comp ou supp  à 11%</v>
      </c>
      <c r="N52" s="270" t="s">
        <v>26</v>
      </c>
      <c r="O52" s="271"/>
      <c r="P52" s="102"/>
    </row>
    <row r="53" spans="1:15" ht="80.25" customHeight="1">
      <c r="A53" s="290"/>
      <c r="B53" s="290"/>
      <c r="C53" s="290"/>
      <c r="D53" s="290"/>
      <c r="E53" s="290"/>
      <c r="F53" s="243"/>
      <c r="G53" s="244"/>
      <c r="H53" s="137"/>
      <c r="I53" s="237"/>
      <c r="J53" s="248"/>
      <c r="K53" s="248"/>
      <c r="L53" s="248"/>
      <c r="M53" s="216"/>
      <c r="N53" s="270"/>
      <c r="O53" s="271"/>
    </row>
    <row r="54" spans="1:16" ht="16.5" customHeight="1">
      <c r="A54" s="301" t="str">
        <f>IF($O$33="OUI","Report année précédente","")</f>
        <v>Report année précédente</v>
      </c>
      <c r="B54" s="302"/>
      <c r="C54" s="302"/>
      <c r="D54" s="163"/>
      <c r="E54" s="47">
        <f>IF($O$33="OUI",$F$41,0)</f>
        <v>0</v>
      </c>
      <c r="F54" s="291"/>
      <c r="G54" s="292"/>
      <c r="H54" s="137"/>
      <c r="I54" s="165"/>
      <c r="J54" s="48"/>
      <c r="K54" s="48"/>
      <c r="L54" s="49"/>
      <c r="M54" s="145"/>
      <c r="N54" s="153" t="s">
        <v>5</v>
      </c>
      <c r="O54" s="112"/>
      <c r="P54" s="102"/>
    </row>
    <row r="55" spans="1:15" ht="15.75" customHeight="1">
      <c r="A55" s="36" t="s">
        <v>19</v>
      </c>
      <c r="B55" s="37"/>
      <c r="C55" s="164" t="str">
        <f>IF(ISBLANK(J46),"janvier",J46)</f>
        <v>janvier</v>
      </c>
      <c r="D55" s="50"/>
      <c r="E55" s="162">
        <v>0</v>
      </c>
      <c r="F55" s="219"/>
      <c r="G55" s="220"/>
      <c r="H55" s="137"/>
      <c r="I55" s="51"/>
      <c r="J55" s="22">
        <f>IF(AND($A$13="x",$A$14=""),$I$55*11/100,IF(AND($A$13="",$A$14="x"),(($I$55/1.1)*11%),""))</f>
        <v>0</v>
      </c>
      <c r="K55" s="187"/>
      <c r="L55" s="52">
        <f>IF(AND($A$13="x",$A$14=""),$K$55*11/100,"")</f>
      </c>
      <c r="M55" s="146">
        <f>IF(AND($A$13="x",$A$14=""),($I$55+$K$55)/10,IF(AND($A$13="",$A$14="x"),$K$55*11/100,""))</f>
        <v>0</v>
      </c>
      <c r="N55" s="154" t="s">
        <v>6</v>
      </c>
      <c r="O55" s="25">
        <f>ROUNDUP(O54/26,2)</f>
        <v>0</v>
      </c>
    </row>
    <row r="56" spans="1:16" ht="14.25" customHeight="1">
      <c r="A56" s="20" t="s">
        <v>18</v>
      </c>
      <c r="B56" s="21"/>
      <c r="C56" s="84" t="str">
        <f>IF(ISBLANK(J46),"février",(_XLL.MOIS.DECALER(C55,1)))</f>
        <v>février</v>
      </c>
      <c r="D56" s="50"/>
      <c r="E56" s="87">
        <v>0</v>
      </c>
      <c r="F56" s="219"/>
      <c r="G56" s="220"/>
      <c r="H56" s="137"/>
      <c r="I56" s="51"/>
      <c r="J56" s="22">
        <f>IF(AND($A$13="x",$A$14=""),$I$56*11/100,IF(AND($A$13="",$A$14="x"),(($I$56/1.1)*11%),""))</f>
        <v>0</v>
      </c>
      <c r="K56" s="187"/>
      <c r="L56" s="52">
        <f>IF(AND($A$13="x",$A$14=""),$K$56*11/100,"")</f>
      </c>
      <c r="M56" s="146">
        <f>IF(AND($A$13="x",$A$14=""),($I$56+$K$56)/10,IF(AND($A$13="",$A$14="x"),$K$56*11/100,""))</f>
        <v>0</v>
      </c>
      <c r="N56" s="155" t="s">
        <v>41</v>
      </c>
      <c r="O56" s="115">
        <f>F70*O55</f>
        <v>0</v>
      </c>
      <c r="P56" s="196">
        <f>IF(AND(valeur_cp_non_prisb&lt;0,O62="oui"),-valeur_cp_non_prisb,0)</f>
        <v>0</v>
      </c>
    </row>
    <row r="57" spans="1:15" ht="15.75">
      <c r="A57" s="20" t="s">
        <v>17</v>
      </c>
      <c r="B57" s="21"/>
      <c r="C57" s="84" t="str">
        <f>IF(ISBLANK(J46),"mars",(_XLL.MOIS.DECALER(C56,1)))</f>
        <v>mars</v>
      </c>
      <c r="D57" s="50"/>
      <c r="E57" s="87">
        <v>0</v>
      </c>
      <c r="F57" s="219"/>
      <c r="G57" s="220"/>
      <c r="H57" s="137"/>
      <c r="I57" s="51"/>
      <c r="J57" s="22">
        <f>IF(AND($A$13="x",$A$14=""),$I$57*11/100,IF(AND($A$13="",$A$14="x"),(($I$57/1.1)*11%),""))</f>
        <v>0</v>
      </c>
      <c r="K57" s="187"/>
      <c r="L57" s="52">
        <f>IF(AND($A$13="x",$A$14=""),$K$57*11/100,"")</f>
      </c>
      <c r="M57" s="146">
        <f>IF(AND($A$13="x",$A$14=""),($I$57+$K$57)/10,IF(AND($A$13="",$A$14="x"),$K$57*11/100,""))</f>
        <v>0</v>
      </c>
      <c r="N57" s="156" t="s">
        <v>65</v>
      </c>
      <c r="O57" s="117">
        <f>(E72-E54)*O55</f>
        <v>0</v>
      </c>
    </row>
    <row r="58" spans="1:15" ht="14.25">
      <c r="A58" s="20" t="s">
        <v>16</v>
      </c>
      <c r="B58" s="21"/>
      <c r="C58" s="84" t="str">
        <f>IF(ISBLANK(J46),"avril",(_XLL.MOIS.DECALER(C57,1)))</f>
        <v>avril</v>
      </c>
      <c r="D58" s="50"/>
      <c r="E58" s="87">
        <v>0</v>
      </c>
      <c r="F58" s="219"/>
      <c r="G58" s="220"/>
      <c r="H58" s="137"/>
      <c r="I58" s="51"/>
      <c r="J58" s="22">
        <f>IF(AND($A$13="x",$A$14=""),$I$58*11/100,IF(AND($A$13="",$A$14="x"),(($I$58/1.1)*11%),""))</f>
        <v>0</v>
      </c>
      <c r="K58" s="187"/>
      <c r="L58" s="52">
        <f>IF(AND($A$13="x",$A$14=""),$K$58*11/100,"")</f>
      </c>
      <c r="M58" s="146">
        <f>IF(AND($A$13="x",$A$14=""),($I$58+$K$58)/10,IF(AND($A$13="",$A$14="x"),$K$58*11/100,""))</f>
        <v>0</v>
      </c>
      <c r="N58" s="157" t="s">
        <v>40</v>
      </c>
      <c r="O58" s="26">
        <f>F69*O55</f>
        <v>0</v>
      </c>
    </row>
    <row r="59" spans="1:15" ht="14.25">
      <c r="A59" s="20" t="s">
        <v>15</v>
      </c>
      <c r="B59" s="21"/>
      <c r="C59" s="84" t="str">
        <f>IF(ISBLANK(J46),"mai",(_XLL.MOIS.DECALER(C58,1)))</f>
        <v>mai</v>
      </c>
      <c r="D59" s="50"/>
      <c r="E59" s="87">
        <v>0</v>
      </c>
      <c r="F59" s="219"/>
      <c r="G59" s="220"/>
      <c r="H59" s="137"/>
      <c r="I59" s="51"/>
      <c r="J59" s="22">
        <f>IF(AND($A$13="x",$A$14=""),$I$59*11/100,IF(AND($A$13="",$A$14="x"),(($I$59/1.1)*11%),""))</f>
        <v>0</v>
      </c>
      <c r="K59" s="187"/>
      <c r="L59" s="52">
        <f>IF(AND($A$13="x",$A$14=""),$K$59*11/100,"")</f>
      </c>
      <c r="M59" s="146">
        <f>IF(AND($A$13="x",$A$14=""),($I$59+$K$59)/10,IF(AND($A$13="",$A$14="x"),$K$59*11/100,""))</f>
        <v>0</v>
      </c>
      <c r="N59" s="298"/>
      <c r="O59" s="299"/>
    </row>
    <row r="60" spans="1:16" ht="14.25">
      <c r="A60" s="20" t="s">
        <v>14</v>
      </c>
      <c r="B60" s="21"/>
      <c r="C60" s="84" t="str">
        <f>IF(ISBLANK(J46),"juin",(_XLL.MOIS.DECALER(C59,1)))</f>
        <v>juin</v>
      </c>
      <c r="D60" s="50"/>
      <c r="E60" s="87">
        <v>0</v>
      </c>
      <c r="F60" s="219"/>
      <c r="G60" s="220"/>
      <c r="H60" s="137"/>
      <c r="I60" s="51"/>
      <c r="J60" s="22">
        <f>IF(AND($A$13="x",$A$14=""),$I$60*11/100,IF(AND($A$13="",$A$14="x"),(($I$60/1.1)*11%),""))</f>
        <v>0</v>
      </c>
      <c r="K60" s="187"/>
      <c r="L60" s="52">
        <f>IF(AND($A$13="x",$A$14=""),$K$60*11/100,"")</f>
      </c>
      <c r="M60" s="146">
        <f>IF(AND($A$13="x",$A$14=""),($I$60+$K$60)/10,IF(AND($A$13="",$A$14="x"),$K$60*11/100,""))</f>
        <v>0</v>
      </c>
      <c r="N60" s="158" t="s">
        <v>67</v>
      </c>
      <c r="O60" s="119">
        <f>IF(P60&lt;=0,0,(total_cp_acquisb-valeur_cp_prisb)+(valeur_cp_prisb-O61))</f>
        <v>0</v>
      </c>
      <c r="P60" s="103">
        <f>(total_cp_acquisb-valeur_cp_prisb)+(valeur_cp_prisb-total_cp_10_centb)</f>
        <v>0</v>
      </c>
    </row>
    <row r="61" spans="1:15" ht="14.25">
      <c r="A61" s="20" t="s">
        <v>13</v>
      </c>
      <c r="B61" s="21"/>
      <c r="C61" s="84" t="str">
        <f>IF(ISBLANK(J46),"juillet",(_XLL.MOIS.DECALER(C60,1)))</f>
        <v>juillet</v>
      </c>
      <c r="D61" s="50"/>
      <c r="E61" s="87">
        <v>0</v>
      </c>
      <c r="F61" s="219"/>
      <c r="G61" s="220"/>
      <c r="H61" s="137"/>
      <c r="I61" s="51"/>
      <c r="J61" s="22">
        <f>IF(AND($A$13="x",$A$14=""),$I$61*11/100,IF(AND($A$13="",$A$14="x"),(($I$61/1.1)*11%),""))</f>
        <v>0</v>
      </c>
      <c r="K61" s="187"/>
      <c r="L61" s="52">
        <f>IF(AND($A$13="x",$A$14=""),$K$61*11/100,"")</f>
      </c>
      <c r="M61" s="146">
        <f>IF(AND($A$13="x",$A$14=""),($I$61+$K$61)/10,IF(AND($A$13="",$A$14="x"),$K$61*11/100,""))</f>
        <v>0</v>
      </c>
      <c r="N61" s="159" t="s">
        <v>66</v>
      </c>
      <c r="O61" s="120">
        <f>IF(total_cp_10_centb&gt;K68,total_cp_10_centb,K68)</f>
        <v>0</v>
      </c>
    </row>
    <row r="62" spans="1:15" ht="15.75">
      <c r="A62" s="20" t="s">
        <v>12</v>
      </c>
      <c r="B62" s="21"/>
      <c r="C62" s="84" t="str">
        <f>IF(ISBLANK(J46),"aout",(_XLL.MOIS.DECALER(C61,1)))</f>
        <v>aout</v>
      </c>
      <c r="D62" s="50"/>
      <c r="E62" s="87">
        <v>0</v>
      </c>
      <c r="F62" s="219"/>
      <c r="G62" s="220"/>
      <c r="H62" s="137"/>
      <c r="I62" s="51"/>
      <c r="J62" s="22">
        <f>IF(AND($A$13="x",$A$14=""),$I$62*11/100,IF(AND($A$13="",$A$14="x"),(($I$62/1.1)*11%),""))</f>
        <v>0</v>
      </c>
      <c r="K62" s="187"/>
      <c r="L62" s="52">
        <f>IF(AND($A$13="x",$A$14=""),$K$62*11/100,"")</f>
      </c>
      <c r="M62" s="146">
        <f>IF(AND($A$13="x",$A$14=""),($I$62+$K$62)/10,IF(AND($A$13="",$A$14="x"),$K$62*11/100,""))</f>
        <v>0</v>
      </c>
      <c r="N62" s="27" t="s">
        <v>45</v>
      </c>
      <c r="O62" s="28" t="s">
        <v>2</v>
      </c>
    </row>
    <row r="63" spans="1:16" ht="14.25">
      <c r="A63" s="20" t="s">
        <v>11</v>
      </c>
      <c r="B63" s="21"/>
      <c r="C63" s="84" t="str">
        <f>IF(ISBLANK(J46),"septembre",(_XLL.MOIS.DECALER(C62,1)))</f>
        <v>septembre</v>
      </c>
      <c r="D63" s="50"/>
      <c r="E63" s="87">
        <v>0</v>
      </c>
      <c r="F63" s="219"/>
      <c r="G63" s="220"/>
      <c r="H63" s="137"/>
      <c r="I63" s="51"/>
      <c r="J63" s="22">
        <f>IF(AND($A$13="x",$A$14=""),$I$63*11/100,IF(AND($A$13="",$A$14="x"),(($I$63/1.1)*11%),""))</f>
        <v>0</v>
      </c>
      <c r="K63" s="187"/>
      <c r="L63" s="52">
        <f>IF(AND($A$13="x",$A$14=""),$K$63*11/100,"")</f>
      </c>
      <c r="M63" s="146">
        <f>IF(AND($A$13="x",$A$14=""),($I$63+$K$63)/10,IF(AND($A$13="",$A$14="x"),$K$63*11/100,""))</f>
        <v>0</v>
      </c>
      <c r="N63" s="29"/>
      <c r="O63" s="137"/>
      <c r="P63" s="104"/>
    </row>
    <row r="64" spans="1:16" ht="15">
      <c r="A64" s="20" t="s">
        <v>8</v>
      </c>
      <c r="B64" s="21"/>
      <c r="C64" s="84" t="str">
        <f>IF(ISBLANK(J46),"octobre",(_XLL.MOIS.DECALER(C63,1)))</f>
        <v>octobre</v>
      </c>
      <c r="D64" s="50"/>
      <c r="E64" s="87">
        <v>0</v>
      </c>
      <c r="F64" s="219"/>
      <c r="G64" s="220"/>
      <c r="H64" s="137"/>
      <c r="I64" s="51"/>
      <c r="J64" s="22">
        <f>IF(AND($A$13="x",$A$14=""),$I$64*11/100,IF(AND($A$13="",$A$14="x"),(($I$64/1.1)*11%),""))</f>
        <v>0</v>
      </c>
      <c r="K64" s="187"/>
      <c r="L64" s="52">
        <f>IF(AND($A$13="x",$A$14=""),$K$64*11/100,"")</f>
      </c>
      <c r="M64" s="146">
        <f>IF(AND($A$13="x",$A$14=""),($I$64+$K$64)/10,IF(AND($A$13="",$A$14="x"),$K$64*11/100,""))</f>
        <v>0</v>
      </c>
      <c r="N64" s="307" t="s">
        <v>43</v>
      </c>
      <c r="O64" s="236"/>
      <c r="P64" s="102"/>
    </row>
    <row r="65" spans="1:15" ht="14.25">
      <c r="A65" s="20" t="s">
        <v>9</v>
      </c>
      <c r="B65" s="21"/>
      <c r="C65" s="84" t="str">
        <f>IF(ISBLANK(J46),"novembre",(_XLL.MOIS.DECALER(C64,1)))</f>
        <v>novembre</v>
      </c>
      <c r="D65" s="50"/>
      <c r="E65" s="87">
        <v>0</v>
      </c>
      <c r="F65" s="219"/>
      <c r="G65" s="220"/>
      <c r="H65" s="137"/>
      <c r="I65" s="51"/>
      <c r="J65" s="22">
        <f>IF(AND($A$13="x",$A$14=""),$I$65*11/100,IF(AND($A$13="",$A$14="x"),(($I$65/1.1)*11%),""))</f>
        <v>0</v>
      </c>
      <c r="K65" s="187"/>
      <c r="L65" s="52">
        <f>IF(AND($A$13="x",$A$14=""),$K$65*11/100,"")</f>
      </c>
      <c r="M65" s="146">
        <f>IF(AND($A$13="x",$A$14=""),($I$65+$K$65)/10,IF(AND($A$13="",$A$14="x"),$K$65*11/100,""))</f>
        <v>0</v>
      </c>
      <c r="N65" s="307" t="s">
        <v>44</v>
      </c>
      <c r="O65" s="236"/>
    </row>
    <row r="66" spans="1:16" ht="14.25" customHeight="1">
      <c r="A66" s="30" t="s">
        <v>10</v>
      </c>
      <c r="B66" s="31"/>
      <c r="C66" s="84" t="str">
        <f>IF(ISBLANK(J46),"décembre",(_XLL.MOIS.DECALER(C65,1)))</f>
        <v>décembre</v>
      </c>
      <c r="D66" s="81"/>
      <c r="E66" s="88">
        <v>0</v>
      </c>
      <c r="F66" s="219"/>
      <c r="G66" s="220"/>
      <c r="H66" s="137"/>
      <c r="I66" s="54"/>
      <c r="J66" s="32">
        <f>IF(AND($A$13="x",$A$14=""),$I$66*11/100,IF(AND($A$13="",$A$14="x"),(($I$66/1.1)*11%),""))</f>
        <v>0</v>
      </c>
      <c r="K66" s="189"/>
      <c r="L66" s="55">
        <f>IF(AND($A$13="x",$A$14=""),$K$66*11/100,"")</f>
      </c>
      <c r="M66" s="146">
        <f>IF(AND($A$13="x",$A$14=""),($I$66+$K$66)/10,IF(AND($A$13="",$A$14="x"),$K$66*11/100,""))</f>
        <v>0</v>
      </c>
      <c r="N66" s="280" t="s">
        <v>68</v>
      </c>
      <c r="O66" s="300">
        <f>IF(AND(O62="oui",valeur_cp_non_prisb&gt;0),O60,IF(AND(O62="non",valeur_cp_non_prisb&lt;0),O60,valeur_cp_non_prisb+O60))+IF(AND(valeur_cp_non_prisb&lt;0,O62="oui"),O60,0)</f>
        <v>0</v>
      </c>
      <c r="P66" s="293"/>
    </row>
    <row r="67" spans="1:16" ht="15" customHeight="1">
      <c r="A67" s="285" t="str">
        <f>IF(AND($A$13="x",$A$14=""),"Régularisation Congés payés fin d'année de référence  (Autre formule 10% sur CP)",IF(AND($A$13="",$A$14="x"),"Total des Cp inclus + total CP Hrs comp/sup (cellule I)",""))</f>
        <v>Total des Cp inclus + total CP Hrs comp/sup (cellule I)</v>
      </c>
      <c r="B67" s="286"/>
      <c r="C67" s="286"/>
      <c r="D67" s="286"/>
      <c r="E67" s="286"/>
      <c r="F67" s="286"/>
      <c r="G67" s="286"/>
      <c r="H67" s="286"/>
      <c r="I67" s="286"/>
      <c r="J67" s="74">
        <f>IF(AND($A$13="x",$A$14=""),"",IF(AND($A$13="",$A$14="x"),($J$55+$J$56+$J$57+$J$58+$J$59+$J$60+$J$61+$J$62+$J$63+$J$64+$J$65+$J$66),""))</f>
        <v>0</v>
      </c>
      <c r="K67" s="198" t="str">
        <f>IF(AND($A$13="x",$A$14=""),"",IF(AND($A$13="",$A$14="x"),"Total CP= Hrs Comp/Supp",""))</f>
        <v>Total CP= Hrs Comp/Supp</v>
      </c>
      <c r="L67" s="198"/>
      <c r="M67" s="76">
        <f>IF(AND($A$13="x",$A$14=""),($M$55+$M$56+$M$57+$M$58+$M$59+$M$60+$M$61+$M$62+$M$63+$M$64+$M$65+$M$66)/10,IF(AND($A$13="",$A$14="x"),$M$55+$M$56+$M$57+$M$58+$M$59+$M$60+$M$61+$M$62+$M$63+$M$64+$M$65+$M$66,""))</f>
        <v>0</v>
      </c>
      <c r="N67" s="280"/>
      <c r="O67" s="300"/>
      <c r="P67" s="293"/>
    </row>
    <row r="68" spans="1:16" ht="15" customHeight="1">
      <c r="A68" s="256" t="s">
        <v>55</v>
      </c>
      <c r="B68" s="257"/>
      <c r="C68" s="257"/>
      <c r="D68" s="258"/>
      <c r="E68" s="177">
        <f>'Explication déduction CP'!E28</f>
        <v>0</v>
      </c>
      <c r="G68" s="124"/>
      <c r="H68" s="124"/>
      <c r="I68" s="125"/>
      <c r="J68" s="128"/>
      <c r="K68" s="124"/>
      <c r="L68" s="127"/>
      <c r="M68" s="127"/>
      <c r="N68" s="280"/>
      <c r="O68" s="294">
        <f>IF(AND($F$70&lt;0,O62="oui"),"Report sur l'année suivante",IF(AND($F$70&lt;0,O62="non"),-valeur_cp_non_prisb,""))</f>
      </c>
      <c r="P68" s="293"/>
    </row>
    <row r="69" spans="1:16" ht="14.25">
      <c r="A69" s="166" t="s">
        <v>21</v>
      </c>
      <c r="B69" s="167"/>
      <c r="C69" s="176">
        <f>SUM(E55:E66)</f>
        <v>0</v>
      </c>
      <c r="D69" s="176">
        <f>ROUNDUP(IF(C69&gt;29,30,IF(C69&gt;30,30,C69)),0)</f>
        <v>0</v>
      </c>
      <c r="E69" s="172">
        <f>IF(ISBLANK(E68),(ROUNDUP(D69,2)),(ROUNDUP((D69-E68),0)))</f>
        <v>0</v>
      </c>
      <c r="F69" s="173">
        <f>SUM(F55:G66)</f>
        <v>0</v>
      </c>
      <c r="G69" s="174" t="s">
        <v>69</v>
      </c>
      <c r="H69" s="57">
        <f>F69</f>
        <v>0</v>
      </c>
      <c r="I69" s="263" t="s">
        <v>37</v>
      </c>
      <c r="J69" s="323">
        <f>IF(AND($A$13="x",$A$14=""),($J$55+$J$56+$J$57+$J$58+$J$59+$J$60+$J$61+$J$62+$J$63+$J$64+$J$65+$J$66+$L$55+$L$56+$L$57+$L$58+$L$59+$L$60+$L$61+$L$62+$L$63+$L$64+$L$65+$L$66),IF(AND($A$13="",$A$14="x"),ROUNDUP($J$67+$M$67,2),""))</f>
        <v>0</v>
      </c>
      <c r="K69" s="249">
        <f>IF(AND($A$13="x",$A$14=""),($J$26+$J$27+$J$28+$J$29+$J$30+$J$31+$J$32+$J$33+$J$34+$J$35+$J$36+$J$37),IF(AND($A$13="",$A$14="x"),ROUNDUP($J$38+$M$38,2),""))</f>
        <v>0</v>
      </c>
      <c r="M69" s="250">
        <f>IF(AND($A$13="x",$A$14=""),$M$55+$M$56+$M$57+$M$58+$M$59+$M$60+$M$61+$M$62+$M$63+$M$64+$M$65+$M$66+$M$67,IF(AND($A$13="",$A$14="x"),"",""))</f>
      </c>
      <c r="N69" s="296">
        <f>IF(AND($F$70&lt;0,valeur_cp_non_prisb&lt;0,$O$62="non"),"Remboursement trop perçu à l'employeur (régularisation plus favorable reste due) ","")</f>
      </c>
      <c r="O69" s="294"/>
      <c r="P69" s="293"/>
    </row>
    <row r="70" spans="1:16" ht="14.25">
      <c r="A70" s="178"/>
      <c r="B70" s="179"/>
      <c r="C70" s="180"/>
      <c r="D70" s="180"/>
      <c r="E70" s="181"/>
      <c r="F70" s="190">
        <f>E72-F69</f>
        <v>0</v>
      </c>
      <c r="G70" s="150" t="str">
        <f>IF(F70&lt;0,"CP-NON-acquis","Reste à prendre")</f>
        <v>Reste à prendre</v>
      </c>
      <c r="H70" s="138">
        <f>E72-F69</f>
        <v>0</v>
      </c>
      <c r="I70" s="264"/>
      <c r="J70" s="324"/>
      <c r="K70" s="249"/>
      <c r="M70" s="250"/>
      <c r="N70" s="297"/>
      <c r="O70" s="295"/>
      <c r="P70" s="105"/>
    </row>
    <row r="71" spans="1:16" ht="14.25">
      <c r="A71" s="168" t="s">
        <v>7</v>
      </c>
      <c r="B71" s="169"/>
      <c r="C71" s="170"/>
      <c r="D71" s="170"/>
      <c r="E71" s="77"/>
      <c r="H71" s="137"/>
      <c r="I71" s="41"/>
      <c r="P71" s="108"/>
    </row>
    <row r="72" spans="1:16" ht="15">
      <c r="A72" s="261" t="s">
        <v>22</v>
      </c>
      <c r="B72" s="262"/>
      <c r="C72" s="262"/>
      <c r="D72" s="201"/>
      <c r="E72" s="175">
        <f>IF($E$69&gt;30,30,IF($E$69+$E$71&gt;32,32,$E$69+$E$71))+$E$54</f>
        <v>0</v>
      </c>
      <c r="H72" s="137"/>
      <c r="I72" s="53"/>
      <c r="J72" s="58"/>
      <c r="K72" s="53"/>
      <c r="L72" s="53"/>
      <c r="M72" s="53"/>
      <c r="N72" s="123"/>
      <c r="O72" s="123"/>
      <c r="P72" s="102"/>
    </row>
    <row r="73" spans="8:16" ht="10.5" customHeight="1">
      <c r="H73" s="137"/>
      <c r="I73" s="98" t="s">
        <v>70</v>
      </c>
      <c r="J73" s="98"/>
      <c r="K73" s="98"/>
      <c r="L73" s="98"/>
      <c r="M73" s="98"/>
      <c r="N73" s="98"/>
      <c r="O73" s="137"/>
      <c r="P73" s="102"/>
    </row>
    <row r="74" spans="1:16" ht="3.75" customHeight="1">
      <c r="A74" s="59"/>
      <c r="B74" s="59"/>
      <c r="C74" s="59"/>
      <c r="D74" s="59"/>
      <c r="E74" s="59"/>
      <c r="F74" s="59"/>
      <c r="G74" s="60"/>
      <c r="H74" s="137"/>
      <c r="I74" s="53"/>
      <c r="J74" s="53"/>
      <c r="K74" s="53"/>
      <c r="L74" s="53"/>
      <c r="M74" s="53"/>
      <c r="N74" s="53"/>
      <c r="O74" s="53"/>
      <c r="P74" s="107"/>
    </row>
    <row r="75" spans="1:15" ht="18" customHeight="1">
      <c r="A75" s="238" t="s">
        <v>27</v>
      </c>
      <c r="B75" s="239"/>
      <c r="C75" s="239"/>
      <c r="D75" s="239"/>
      <c r="E75" s="239"/>
      <c r="F75" s="239"/>
      <c r="G75" s="240"/>
      <c r="H75" s="137"/>
      <c r="J75" s="89"/>
      <c r="K75" s="160" t="s">
        <v>20</v>
      </c>
      <c r="L75" s="42"/>
      <c r="M75" s="140"/>
      <c r="O75" s="137"/>
    </row>
    <row r="76" spans="1:15" ht="3" customHeight="1">
      <c r="A76" s="61"/>
      <c r="B76" s="62"/>
      <c r="C76" s="62"/>
      <c r="D76" s="62"/>
      <c r="E76" s="62"/>
      <c r="F76" s="62"/>
      <c r="G76" s="62"/>
      <c r="H76" s="62"/>
      <c r="I76" s="63"/>
      <c r="J76" s="137"/>
      <c r="K76" s="137"/>
      <c r="L76" s="137"/>
      <c r="M76" s="137"/>
      <c r="N76" s="137"/>
      <c r="O76" s="137"/>
    </row>
    <row r="77" spans="1:16" ht="18.75" customHeight="1">
      <c r="A77" s="276" t="s">
        <v>35</v>
      </c>
      <c r="B77" s="277"/>
      <c r="C77" s="277"/>
      <c r="D77" s="277"/>
      <c r="E77" s="277"/>
      <c r="F77" s="277"/>
      <c r="G77" s="278"/>
      <c r="H77" s="137"/>
      <c r="I77" s="267" t="s">
        <v>36</v>
      </c>
      <c r="J77" s="268"/>
      <c r="K77" s="268"/>
      <c r="L77" s="268"/>
      <c r="M77" s="268"/>
      <c r="N77" s="268"/>
      <c r="O77" s="269"/>
      <c r="P77" s="102"/>
    </row>
    <row r="78" spans="1:16" ht="18" customHeight="1" hidden="1">
      <c r="A78" s="137"/>
      <c r="B78" s="137"/>
      <c r="C78" s="137"/>
      <c r="D78" s="137"/>
      <c r="E78" s="137"/>
      <c r="F78" s="137"/>
      <c r="G78" s="137"/>
      <c r="H78" s="137"/>
      <c r="I78" s="137"/>
      <c r="J78" s="44">
        <f>SUMPRODUCT(J83:J95)</f>
        <v>0</v>
      </c>
      <c r="K78" s="137"/>
      <c r="L78" s="64" t="e">
        <f>(((L83+L84+L85+L86+L87+L88+L89+L90+L91+L92+L93+L94+L95)/10)+(L83+L84+L85+L86+L87+L88+L89+L90+L91+L92+L93+L94+L95))</f>
        <v>#VALUE!</v>
      </c>
      <c r="M78" s="147"/>
      <c r="N78" s="137"/>
      <c r="O78" s="137"/>
      <c r="P78" s="102"/>
    </row>
    <row r="79" spans="1:16" ht="2.25" customHeight="1">
      <c r="A79" s="43"/>
      <c r="B79" s="43"/>
      <c r="C79" s="43"/>
      <c r="D79" s="43"/>
      <c r="E79" s="43"/>
      <c r="F79" s="43"/>
      <c r="G79" s="43"/>
      <c r="H79" s="137"/>
      <c r="I79" s="137"/>
      <c r="J79" s="44"/>
      <c r="K79" s="137"/>
      <c r="L79" s="65"/>
      <c r="M79" s="65"/>
      <c r="N79" s="137"/>
      <c r="O79" s="137"/>
      <c r="P79" s="102"/>
    </row>
    <row r="80" spans="1:16" ht="18.75" customHeight="1">
      <c r="A80" s="254" t="s">
        <v>24</v>
      </c>
      <c r="B80" s="255"/>
      <c r="C80" s="255"/>
      <c r="D80" s="255"/>
      <c r="E80" s="255"/>
      <c r="F80" s="197"/>
      <c r="G80" s="18" t="s">
        <v>2</v>
      </c>
      <c r="H80" s="137"/>
      <c r="I80" s="231" t="s">
        <v>34</v>
      </c>
      <c r="J80" s="232"/>
      <c r="K80" s="232"/>
      <c r="L80" s="233"/>
      <c r="M80" s="195"/>
      <c r="N80" s="310" t="s">
        <v>33</v>
      </c>
      <c r="O80" s="273"/>
      <c r="P80" s="102"/>
    </row>
    <row r="81" spans="1:15" ht="15" customHeight="1">
      <c r="A81" s="290" t="s">
        <v>1</v>
      </c>
      <c r="B81" s="290"/>
      <c r="C81" s="290"/>
      <c r="D81" s="290"/>
      <c r="E81" s="290"/>
      <c r="F81" s="241" t="s">
        <v>0</v>
      </c>
      <c r="G81" s="242"/>
      <c r="H81" s="137"/>
      <c r="I81" s="237" t="str">
        <f>IF(AND(A13="x",A14=""),"Salaires BRUT versés /mois Hors Heures comp/supp",IF(AND(A13="",A14="x"),"Salaires BRUT mensualisés",""))</f>
        <v>Salaires BRUT mensualisés</v>
      </c>
      <c r="J81" s="247" t="str">
        <f>IF(AND(A13="x",A14=""),"1ère formule de Calcul (Sur salaire Brut): 11%",IF(AND(A13="",A14="x"),"Dont les congés payés inclus",""))</f>
        <v>Dont les congés payés inclus</v>
      </c>
      <c r="K81" s="247" t="str">
        <f>IF(AND(A13="x",A14=""),"Heures comp/supp-Indiquer le montant du salaire BRUT correspondant uniquement aux Heures complet/ou suppl versées/mois",IF(AND(A13="",A14="x"),"Heures comp/supp-Indiquer le montant du salaire BRUT correspondant uniquement aux Heures complet/ou suppl versées/mois",""))</f>
        <v>Heures comp/supp-Indiquer le montant du salaire BRUT correspondant uniquement aux Heures complet/ou suppl versées/mois</v>
      </c>
      <c r="L81" s="247">
        <f>IF(AND(A13="x",A14=""),"1ère formule de Calcul (Sur les heures comp/supp): 11%",IF(AND(A13="",A14="x"),"",""))</f>
      </c>
      <c r="M81" s="215" t="str">
        <f>IF(AND(A13="x",A14=""),"Autre formule de calcul",IF(AND(A13="",A14="x"),"Montant Congés à percevoir heures comp ou supp  à 11%",""))</f>
        <v>Montant Congés à percevoir heures comp ou supp  à 11%</v>
      </c>
      <c r="N81" s="319" t="s">
        <v>25</v>
      </c>
      <c r="O81" s="320"/>
    </row>
    <row r="82" spans="1:15" ht="82.5" customHeight="1">
      <c r="A82" s="290"/>
      <c r="B82" s="290"/>
      <c r="C82" s="290"/>
      <c r="D82" s="290"/>
      <c r="E82" s="290"/>
      <c r="F82" s="243"/>
      <c r="G82" s="244"/>
      <c r="H82" s="137"/>
      <c r="I82" s="237"/>
      <c r="J82" s="248"/>
      <c r="K82" s="248"/>
      <c r="L82" s="248"/>
      <c r="M82" s="216"/>
      <c r="N82" s="321"/>
      <c r="O82" s="322"/>
    </row>
    <row r="83" spans="1:16" ht="15.75" customHeight="1">
      <c r="A83" s="301" t="str">
        <f>IF($O$62="oui","Report année précédente","")</f>
        <v>Report année précédente</v>
      </c>
      <c r="B83" s="302"/>
      <c r="C83" s="302"/>
      <c r="D83" s="163"/>
      <c r="E83" s="66">
        <f>IF($O$62="oui",$F$70,0)</f>
        <v>0</v>
      </c>
      <c r="F83" s="291"/>
      <c r="G83" s="292"/>
      <c r="H83" s="137"/>
      <c r="I83" s="165"/>
      <c r="J83" s="67"/>
      <c r="K83" s="48"/>
      <c r="L83" s="68"/>
      <c r="M83" s="148"/>
      <c r="N83" s="153" t="s">
        <v>5</v>
      </c>
      <c r="O83" s="112"/>
      <c r="P83" s="102"/>
    </row>
    <row r="84" spans="1:15" ht="14.25" customHeight="1">
      <c r="A84" s="36" t="s">
        <v>19</v>
      </c>
      <c r="B84" s="37"/>
      <c r="C84" s="164" t="str">
        <f>IF(ISBLANK(J75),"janvier",J75)</f>
        <v>janvier</v>
      </c>
      <c r="D84" s="82"/>
      <c r="E84" s="162">
        <v>0</v>
      </c>
      <c r="F84" s="219"/>
      <c r="G84" s="220"/>
      <c r="H84" s="137"/>
      <c r="I84" s="51"/>
      <c r="J84" s="22">
        <f>IF(AND($A$13="x",$A$14=""),$I$84*11/100,IF(AND($A$13="",$A$14="x"),(($I$84/1.1)*11%),""))</f>
        <v>0</v>
      </c>
      <c r="K84" s="187"/>
      <c r="L84" s="52">
        <f>IF(AND($A$13="x",$A$14=""),$K$84*11/100,"")</f>
      </c>
      <c r="M84" s="146">
        <f>IF(AND($A$13="x",$A$14=""),($I$84+$K$84)/10,IF(AND($A$13="",$A$14="x"),$K$84*11/100,""))</f>
        <v>0</v>
      </c>
      <c r="N84" s="154" t="s">
        <v>6</v>
      </c>
      <c r="O84" s="25">
        <f>ROUNDUP(O83/26,2)</f>
        <v>0</v>
      </c>
    </row>
    <row r="85" spans="1:16" ht="14.25" customHeight="1">
      <c r="A85" s="20" t="s">
        <v>18</v>
      </c>
      <c r="B85" s="21"/>
      <c r="C85" s="84" t="str">
        <f>IF(ISBLANK(J75),"février",(_XLL.MOIS.DECALER(C84,1)))</f>
        <v>février</v>
      </c>
      <c r="D85" s="82"/>
      <c r="E85" s="87">
        <v>0</v>
      </c>
      <c r="F85" s="219"/>
      <c r="G85" s="220"/>
      <c r="H85" s="137"/>
      <c r="I85" s="51"/>
      <c r="J85" s="22">
        <f>IF(AND($A$13="x",$A$14=""),$I$85*11/100,IF(AND($A$13="",$A$14="x"),(($I$85/1.1)*11%),""))</f>
        <v>0</v>
      </c>
      <c r="K85" s="187"/>
      <c r="L85" s="52">
        <f>IF(AND($A$13="x",$A$14=""),$K$85*11/100,"")</f>
      </c>
      <c r="M85" s="146">
        <f>IF(AND($A$13="x",$A$14=""),($I$85+$K$85)/10,IF(AND($A$13="",$A$14="x"),$K$85*11/100,""))</f>
        <v>0</v>
      </c>
      <c r="N85" s="155" t="s">
        <v>41</v>
      </c>
      <c r="O85" s="115">
        <f>F99*O84</f>
        <v>0</v>
      </c>
      <c r="P85" s="196">
        <f>IF(AND(valeur_cp_non_prisc&lt;0,O91="oui"),-valeur_cp_non_prisc,0)</f>
        <v>0</v>
      </c>
    </row>
    <row r="86" spans="1:15" ht="13.5" customHeight="1">
      <c r="A86" s="20" t="s">
        <v>17</v>
      </c>
      <c r="B86" s="21"/>
      <c r="C86" s="84" t="str">
        <f>IF(ISBLANK(J75),"mars",(_XLL.MOIS.DECALER(C85,1)))</f>
        <v>mars</v>
      </c>
      <c r="D86" s="82"/>
      <c r="E86" s="87">
        <v>0</v>
      </c>
      <c r="F86" s="219"/>
      <c r="G86" s="220"/>
      <c r="H86" s="137"/>
      <c r="I86" s="51"/>
      <c r="J86" s="22">
        <f>IF(AND($A$13="x",$A$14=""),$I$86*11/100,IF(AND($A$13="",$A$14="x"),(($I$86/1.1)*11%),""))</f>
        <v>0</v>
      </c>
      <c r="K86" s="187"/>
      <c r="L86" s="52">
        <f>IF(AND($A$13="x",$A$14=""),$K$86*11/100,"")</f>
      </c>
      <c r="M86" s="146">
        <f>IF(AND($A$13="x",$A$14=""),($I$86+$K$86)/10,IF(AND($A$13="",$A$14="x"),$K$86*11/100,""))</f>
        <v>0</v>
      </c>
      <c r="N86" s="156" t="s">
        <v>65</v>
      </c>
      <c r="O86" s="117">
        <f>(E101-E83)*O84</f>
        <v>0</v>
      </c>
    </row>
    <row r="87" spans="1:15" ht="14.25">
      <c r="A87" s="20" t="s">
        <v>16</v>
      </c>
      <c r="B87" s="21"/>
      <c r="C87" s="84" t="str">
        <f>IF(ISBLANK(J75),"avril",(_XLL.MOIS.DECALER(C86,1)))</f>
        <v>avril</v>
      </c>
      <c r="D87" s="82"/>
      <c r="E87" s="87">
        <v>0</v>
      </c>
      <c r="F87" s="219"/>
      <c r="G87" s="220"/>
      <c r="H87" s="137"/>
      <c r="I87" s="51"/>
      <c r="J87" s="22">
        <f>IF(AND($A$13="x",$A$14=""),$I$87*11/100,IF(AND($A$13="",$A$14="x"),(($I$87/1.1)*11%),""))</f>
        <v>0</v>
      </c>
      <c r="K87" s="187"/>
      <c r="L87" s="52">
        <f>IF(AND($A$13="x",$A$14=""),$K$87*11/100,"")</f>
      </c>
      <c r="M87" s="146">
        <f>IF(AND($A$13="x",$A$14=""),($I$87+$K$87)/10,IF(AND($A$13="",$A$14="x"),$K$87*11/100,""))</f>
        <v>0</v>
      </c>
      <c r="N87" s="157" t="s">
        <v>40</v>
      </c>
      <c r="O87" s="26">
        <f>F98*O84</f>
        <v>0</v>
      </c>
    </row>
    <row r="88" spans="1:15" ht="14.25">
      <c r="A88" s="20" t="s">
        <v>15</v>
      </c>
      <c r="B88" s="21"/>
      <c r="C88" s="84" t="str">
        <f>IF(ISBLANK(J75),"mai",(_XLL.MOIS.DECALER(C87,1)))</f>
        <v>mai</v>
      </c>
      <c r="D88" s="82"/>
      <c r="E88" s="87">
        <v>0</v>
      </c>
      <c r="F88" s="219"/>
      <c r="G88" s="220"/>
      <c r="H88" s="137"/>
      <c r="I88" s="51"/>
      <c r="J88" s="22">
        <f>IF(AND($A$13="x",$A$14=""),$I$88*11/100,IF(AND($A$13="",$A$14="x"),(($I$88/1.1)*11%),""))</f>
        <v>0</v>
      </c>
      <c r="K88" s="187"/>
      <c r="L88" s="52">
        <f>IF(AND($A$13="x",$A$14=""),$K$88*11/100,"")</f>
      </c>
      <c r="M88" s="146">
        <f>IF(AND($A$13="x",$A$14=""),($I$88+$K$88)/10,IF(AND($A$13="",$A$14="x"),$K$88*11/100,""))</f>
        <v>0</v>
      </c>
      <c r="N88" s="298"/>
      <c r="O88" s="299"/>
    </row>
    <row r="89" spans="1:16" ht="14.25">
      <c r="A89" s="20" t="s">
        <v>14</v>
      </c>
      <c r="B89" s="21"/>
      <c r="C89" s="84" t="str">
        <f>IF(ISBLANK(J75),"juin",(_XLL.MOIS.DECALER(C88,1)))</f>
        <v>juin</v>
      </c>
      <c r="D89" s="82"/>
      <c r="E89" s="87">
        <v>0</v>
      </c>
      <c r="F89" s="219"/>
      <c r="G89" s="220"/>
      <c r="H89" s="137"/>
      <c r="I89" s="51"/>
      <c r="J89" s="22">
        <f>IF(AND($A$13="x",$A$14=""),$I$89*11/100,IF(AND($A$13="",$A$14="x"),(($I$89/1.1)*11%),""))</f>
        <v>0</v>
      </c>
      <c r="K89" s="187"/>
      <c r="L89" s="52">
        <f>IF(AND($A$13="x",$A$14=""),$K$89*11/100,"")</f>
      </c>
      <c r="M89" s="146">
        <f>IF(AND($A$13="x",$A$14=""),($I$89+$K$89)/10,IF(AND($A$13="",$A$14="x"),$K$89*11/100,""))</f>
        <v>0</v>
      </c>
      <c r="N89" s="158" t="s">
        <v>67</v>
      </c>
      <c r="O89" s="119">
        <f>IF(P89&lt;=0,0,(total_cp_acquisc-valeur_cp_prisc)+(valeur_cp_prisc-O90))</f>
        <v>0</v>
      </c>
      <c r="P89" s="103">
        <f>(total_cp_acquisc-valeur_cp_prisc)+(valeur_cp_prisc-total_cp_10_centc)</f>
        <v>0</v>
      </c>
    </row>
    <row r="90" spans="1:15" ht="14.25">
      <c r="A90" s="20" t="s">
        <v>13</v>
      </c>
      <c r="B90" s="21"/>
      <c r="C90" s="84" t="str">
        <f>IF(ISBLANK(J75),"juillet",(_XLL.MOIS.DECALER(C89,1)))</f>
        <v>juillet</v>
      </c>
      <c r="D90" s="82"/>
      <c r="E90" s="87">
        <v>0</v>
      </c>
      <c r="F90" s="219"/>
      <c r="G90" s="220"/>
      <c r="H90" s="137"/>
      <c r="I90" s="51"/>
      <c r="J90" s="22">
        <f>IF(AND($A$13="x",$A$14=""),$I$90*11/100,IF(AND($A$13="",$A$14="x"),(($I$90/1.1)*11%),""))</f>
        <v>0</v>
      </c>
      <c r="K90" s="187"/>
      <c r="L90" s="52">
        <f>IF(AND($A$13="x",$A$14=""),$K$90*11/100,"")</f>
      </c>
      <c r="M90" s="146">
        <f>IF(AND($A$13="x",$A$14=""),($I$90+$K$90)/10,IF(AND($A$13="",$A$14="x"),$K$90*11/100,""))</f>
        <v>0</v>
      </c>
      <c r="N90" s="159" t="s">
        <v>66</v>
      </c>
      <c r="O90" s="120">
        <f>IF(total_cp_10_centc&gt;K97,total_cp_10_centc,K97)</f>
        <v>0</v>
      </c>
    </row>
    <row r="91" spans="1:15" ht="15.75">
      <c r="A91" s="20" t="s">
        <v>12</v>
      </c>
      <c r="B91" s="21"/>
      <c r="C91" s="84" t="str">
        <f>IF(ISBLANK(J75),"aout",(_XLL.MOIS.DECALER(C90,1)))</f>
        <v>aout</v>
      </c>
      <c r="D91" s="82"/>
      <c r="E91" s="87">
        <v>0</v>
      </c>
      <c r="F91" s="219"/>
      <c r="G91" s="220"/>
      <c r="H91" s="137"/>
      <c r="I91" s="51"/>
      <c r="J91" s="22">
        <f>IF(AND($A$13="x",$A$14=""),$I$91*11/100,IF(AND($A$13="",$A$14="x"),(($I$91/1.1)*11%),""))</f>
        <v>0</v>
      </c>
      <c r="K91" s="187"/>
      <c r="L91" s="52">
        <f>IF(AND($A$13="x",$A$14=""),$K$91*11/100,"")</f>
      </c>
      <c r="M91" s="146">
        <f>IF(AND($A$13="x",$A$14=""),($I$91+$K$91)/10,IF(AND($A$13="",$A$14="x"),$K$91*11/100,""))</f>
        <v>0</v>
      </c>
      <c r="N91" s="27" t="s">
        <v>45</v>
      </c>
      <c r="O91" s="28" t="s">
        <v>3</v>
      </c>
    </row>
    <row r="92" spans="1:16" ht="14.25">
      <c r="A92" s="20" t="s">
        <v>11</v>
      </c>
      <c r="B92" s="21"/>
      <c r="C92" s="84" t="str">
        <f>IF(ISBLANK(J75),"septembre",(_XLL.MOIS.DECALER(C91,1)))</f>
        <v>septembre</v>
      </c>
      <c r="D92" s="82"/>
      <c r="E92" s="87">
        <v>0</v>
      </c>
      <c r="F92" s="219"/>
      <c r="G92" s="220"/>
      <c r="H92" s="137"/>
      <c r="I92" s="51"/>
      <c r="J92" s="22">
        <f>IF(AND($A$13="x",$A$14=""),$I$92*11/100,IF(AND($A$13="",$A$14="x"),(($I$92/1.1)*11%),""))</f>
        <v>0</v>
      </c>
      <c r="K92" s="187"/>
      <c r="L92" s="52">
        <f>IF(AND($A$13="x",$A$14=""),$K$92*11/100,"")</f>
      </c>
      <c r="M92" s="146">
        <f>IF(AND($A$13="x",$A$14=""),($I$92+$K$92)/10,IF(AND($A$13="",$A$14="x"),$K$92*11/100,""))</f>
        <v>0</v>
      </c>
      <c r="N92" s="29"/>
      <c r="O92" s="137"/>
      <c r="P92" s="104"/>
    </row>
    <row r="93" spans="1:16" ht="15">
      <c r="A93" s="20" t="s">
        <v>8</v>
      </c>
      <c r="B93" s="21"/>
      <c r="C93" s="84" t="str">
        <f>IF(ISBLANK(J75),"octobre",(_XLL.MOIS.DECALER(C92,1)))</f>
        <v>octobre</v>
      </c>
      <c r="D93" s="82"/>
      <c r="E93" s="87">
        <v>0</v>
      </c>
      <c r="F93" s="219"/>
      <c r="G93" s="220"/>
      <c r="H93" s="137"/>
      <c r="I93" s="51"/>
      <c r="J93" s="22">
        <f>IF(AND($A$13="x",$A$14=""),$I$93*11/100,IF(AND($A$13="",$A$14="x"),(($I$93/1.1)*11%),""))</f>
        <v>0</v>
      </c>
      <c r="K93" s="187"/>
      <c r="L93" s="52">
        <f>IF(AND($A$13="x",$A$14=""),$K$93*11/100,"")</f>
      </c>
      <c r="M93" s="146">
        <f>IF(AND($A$13="x",$A$14=""),($I$93+$K$93)/10,IF(AND($A$13="",$A$14="x"),$K$93*11/100,""))</f>
        <v>0</v>
      </c>
      <c r="N93" s="307" t="s">
        <v>43</v>
      </c>
      <c r="O93" s="236"/>
      <c r="P93" s="102"/>
    </row>
    <row r="94" spans="1:15" ht="14.25">
      <c r="A94" s="20" t="s">
        <v>9</v>
      </c>
      <c r="B94" s="21"/>
      <c r="C94" s="84" t="str">
        <f>IF(ISBLANK(J75),"novembre",(_XLL.MOIS.DECALER(C93,1)))</f>
        <v>novembre</v>
      </c>
      <c r="D94" s="82"/>
      <c r="E94" s="87">
        <v>0</v>
      </c>
      <c r="F94" s="219"/>
      <c r="G94" s="220"/>
      <c r="H94" s="137"/>
      <c r="I94" s="51"/>
      <c r="J94" s="22">
        <f>IF(AND($A$13="x",$A$14=""),$I$94*11/100,IF(AND($A$13="",$A$14="x"),(($I$94/1.1)*11%),""))</f>
        <v>0</v>
      </c>
      <c r="K94" s="187"/>
      <c r="L94" s="52">
        <f>IF(AND($A$13="x",$A$14=""),$K$94*11/100,"")</f>
      </c>
      <c r="M94" s="146">
        <f>IF(AND($A$13="x",$A$14=""),($I$94+$K$94)/10,IF(AND($A$13="",$A$14="x"),$K$94*11/100,""))</f>
        <v>0</v>
      </c>
      <c r="N94" s="307" t="s">
        <v>44</v>
      </c>
      <c r="O94" s="236"/>
    </row>
    <row r="95" spans="1:16" ht="14.25" customHeight="1">
      <c r="A95" s="30" t="s">
        <v>10</v>
      </c>
      <c r="B95" s="31"/>
      <c r="C95" s="84" t="str">
        <f>IF(ISBLANK(J75),"décembre",(_XLL.MOIS.DECALER(C94,1)))</f>
        <v>décembre</v>
      </c>
      <c r="D95" s="83"/>
      <c r="E95" s="88">
        <v>0</v>
      </c>
      <c r="F95" s="219"/>
      <c r="G95" s="220"/>
      <c r="H95" s="137"/>
      <c r="I95" s="51"/>
      <c r="J95" s="69">
        <f>IF(AND($A$13="x",$A$14=""),$I$95*11/100,IF(AND($A$13="",$A$14="x"),(($I$95/1.1)*11%),""))</f>
        <v>0</v>
      </c>
      <c r="K95" s="188"/>
      <c r="L95" s="55">
        <f>IF(AND($A$13="x",$A$14=""),$K$95*11/100,"")</f>
      </c>
      <c r="M95" s="146">
        <f>IF(AND($A$13="x",$A$14=""),($I$95+$K$95)/10,IF(AND($A$13="",$A$14="x"),$K$95*11/100,""))</f>
        <v>0</v>
      </c>
      <c r="N95" s="280" t="s">
        <v>68</v>
      </c>
      <c r="O95" s="300">
        <f>IF(AND(O91="oui",valeur_cp_non_prisc&gt;0),O89,IF(AND(O91="non",valeur_cp_non_prisc&lt;0),O89,valeur_cp_non_prisc+O89))+IF(AND(valeur_cp_non_prisc&lt;0,O91="oui"),O89,0)</f>
        <v>0</v>
      </c>
      <c r="P95" s="293"/>
    </row>
    <row r="96" spans="1:16" ht="15.75" customHeight="1">
      <c r="A96" s="285" t="str">
        <f>IF(AND($A$13="x",$A$14=""),"Régularisation Congés payés fin d'année de référence  (Autre formule 10% sur CP)",IF(AND($A$13="",$A$14="x"),"Total des Cp inclus + total CP Hrs comp/sup (cellule I)",""))</f>
        <v>Total des Cp inclus + total CP Hrs comp/sup (cellule I)</v>
      </c>
      <c r="B96" s="286"/>
      <c r="C96" s="286"/>
      <c r="D96" s="286"/>
      <c r="E96" s="286"/>
      <c r="F96" s="286"/>
      <c r="G96" s="286"/>
      <c r="H96" s="286"/>
      <c r="I96" s="286"/>
      <c r="J96" s="74">
        <f>IF(AND($A$13="x",$A$14=""),"",IF(AND($A$13="",$A$14="x"),($J$84+$J$85+$J$86+$J$87+$J$88+$J$89+$J$90+$J$91+$J$92+$J$93+$J$94+$J$95),""))</f>
        <v>0</v>
      </c>
      <c r="K96" s="198" t="str">
        <f>IF(AND($A$13="x",$A$14=""),"",IF(AND($A$13="",$A$14="x"),"Total CP= Hrs Comp/Supp",""))</f>
        <v>Total CP= Hrs Comp/Supp</v>
      </c>
      <c r="L96" s="198"/>
      <c r="M96" s="75">
        <f>IF(AND($A$13="x",$A$14=""),(M84+M85+M86+M87+M88+M89+M90+M91+M92+M93+M94+M95)/10,IF(AND($A$13="",$A$14="x"),M84+M85+M86+M87+M88+M89+M90+M91+M92+M93+M94+M95,""))</f>
        <v>0</v>
      </c>
      <c r="N96" s="280"/>
      <c r="O96" s="300"/>
      <c r="P96" s="293"/>
    </row>
    <row r="97" spans="1:16" ht="15.75">
      <c r="A97" s="256" t="s">
        <v>55</v>
      </c>
      <c r="B97" s="257"/>
      <c r="C97" s="257"/>
      <c r="D97" s="258"/>
      <c r="E97" s="177">
        <f>'Explication déduction CP'!E30</f>
        <v>0</v>
      </c>
      <c r="G97" s="124"/>
      <c r="H97" s="124"/>
      <c r="I97" s="125"/>
      <c r="J97" s="128"/>
      <c r="K97" s="129"/>
      <c r="L97" s="130"/>
      <c r="M97" s="130"/>
      <c r="N97" s="280"/>
      <c r="O97" s="294">
        <f>IF(AND($F$99&lt;0,O91="oui"),"Report sur l'année suivante",IF(AND($F$99&lt;0,O91="non"),-valeur_cp_non_prisc,""))</f>
      </c>
      <c r="P97" s="293"/>
    </row>
    <row r="98" spans="1:16" ht="14.25">
      <c r="A98" s="166" t="s">
        <v>21</v>
      </c>
      <c r="B98" s="167"/>
      <c r="C98" s="176">
        <f>SUM(E84:E95)</f>
        <v>0</v>
      </c>
      <c r="D98" s="176">
        <f>ROUNDUP(IF(C98&gt;29,30,IF(C98&gt;30,30,C98)),0)</f>
        <v>0</v>
      </c>
      <c r="E98" s="172">
        <f>IF(ISBLANK(E97),(ROUNDUP(D98,2)),(ROUNDUP((D98-E97),0)))</f>
        <v>0</v>
      </c>
      <c r="F98" s="151">
        <f>SUM(F84:G95)</f>
        <v>0</v>
      </c>
      <c r="G98" s="149" t="s">
        <v>69</v>
      </c>
      <c r="H98" s="38" t="str">
        <f>G98</f>
        <v>CP pris</v>
      </c>
      <c r="I98" s="263" t="s">
        <v>37</v>
      </c>
      <c r="J98" s="311">
        <f>IF(AND($A$13="x",$A$14=""),($J$84+$J$85+$J$86+$J$87+$J$88+$J$89+$J$90+$J$91+$J$92+$J$93+$J$94+$J$95+$L$84+$L$85+$L$86+$L$87+$L$88+$L$89+$L$90+$L$91+$L$92+$L$93+$L$94+$L$95),IF(AND($A$13="",$A$14="x"),ROUNDUP($J$96+$M$96,2),""))</f>
        <v>0</v>
      </c>
      <c r="K98" s="249">
        <f>IF(AND($A$13="x",$A$14=""),($J$26+$J$27+$J$28+$J$29+$J$30+$J$31+$J$32+$J$33+$J$34+$J$35+$J$36+$J$37),IF(AND($A$13="",$A$14="x"),ROUNDUP($J$38+$M$38,2),""))</f>
        <v>0</v>
      </c>
      <c r="M98" s="279">
        <f>IF(AND($A$13="x",$A$14=""),$M$84+$M$85+$M$86+$M$87+$M$88+$M$89+$M$90+$M$91+$M$92+$M$93+$M$94+$M$95+$M$96,IF(AND($A$13="",$A$14="x"),"",""))</f>
      </c>
      <c r="N98" s="296">
        <f>IF(AND($F$99&lt;0,valeur_cp_non_prisc&lt;0,$O$91="non"),"Remboursement trop perçu à l'employeur (régularisation plus favorable reste due) ","")</f>
      </c>
      <c r="O98" s="294"/>
      <c r="P98" s="293"/>
    </row>
    <row r="99" spans="1:16" ht="14.25">
      <c r="A99" s="183"/>
      <c r="B99" s="184"/>
      <c r="C99" s="185"/>
      <c r="D99" s="185"/>
      <c r="E99" s="186"/>
      <c r="F99" s="152">
        <f>E101-F98</f>
        <v>0</v>
      </c>
      <c r="G99" s="150" t="str">
        <f>IF(F99&lt;0,"CP-NON-acquis","Reste à prendre")</f>
        <v>Reste à prendre</v>
      </c>
      <c r="H99" s="137"/>
      <c r="I99" s="264"/>
      <c r="J99" s="312"/>
      <c r="K99" s="249"/>
      <c r="M99" s="279"/>
      <c r="N99" s="297"/>
      <c r="O99" s="295"/>
      <c r="P99" s="105"/>
    </row>
    <row r="100" spans="1:16" ht="15.75" customHeight="1">
      <c r="A100" s="168" t="s">
        <v>7</v>
      </c>
      <c r="B100" s="169"/>
      <c r="C100" s="170"/>
      <c r="D100" s="170"/>
      <c r="E100" s="77"/>
      <c r="H100" s="137"/>
      <c r="I100" s="41"/>
      <c r="K100" s="98"/>
      <c r="L100" s="98"/>
      <c r="M100" s="98"/>
      <c r="P100" s="108"/>
    </row>
    <row r="101" spans="1:15" ht="14.25">
      <c r="A101" s="261" t="s">
        <v>22</v>
      </c>
      <c r="B101" s="262"/>
      <c r="C101" s="262"/>
      <c r="D101" s="201"/>
      <c r="E101" s="175">
        <f>IF($E$98&gt;30,30,IF($E$98+$E$100&gt;32,32,$E$98+$E$100))+$E$83</f>
        <v>0</v>
      </c>
      <c r="H101" s="137"/>
      <c r="I101" s="53"/>
      <c r="J101" s="281" t="s">
        <v>48</v>
      </c>
      <c r="K101" s="281"/>
      <c r="L101" s="281"/>
      <c r="M101" s="281"/>
      <c r="N101" s="281"/>
      <c r="O101" s="281"/>
    </row>
    <row r="102" spans="1:16" ht="8.2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P102" s="102"/>
    </row>
    <row r="103" spans="1:16" ht="15">
      <c r="A103" s="70"/>
      <c r="B103" s="218" t="s">
        <v>53</v>
      </c>
      <c r="C103" s="218"/>
      <c r="D103" s="218"/>
      <c r="E103" s="218"/>
      <c r="F103" s="218"/>
      <c r="G103" s="218"/>
      <c r="H103" s="53"/>
      <c r="I103" s="53"/>
      <c r="J103" s="137"/>
      <c r="K103" s="53"/>
      <c r="N103" s="217" t="s">
        <v>54</v>
      </c>
      <c r="O103" s="217"/>
      <c r="P103" s="107"/>
    </row>
    <row r="104" spans="1:16" ht="15.75">
      <c r="A104" s="53"/>
      <c r="B104" s="218"/>
      <c r="C104" s="218"/>
      <c r="D104" s="218"/>
      <c r="E104" s="218"/>
      <c r="F104" s="218"/>
      <c r="G104" s="218"/>
      <c r="H104" s="53"/>
      <c r="I104" s="53"/>
      <c r="J104" s="71" t="s">
        <v>79</v>
      </c>
      <c r="K104" s="53"/>
      <c r="N104" s="217"/>
      <c r="O104" s="217"/>
      <c r="P104" s="102"/>
    </row>
    <row r="105" spans="1:16" ht="15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P105" s="102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02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02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J108" s="1"/>
      <c r="K108" s="1"/>
      <c r="L108" s="1"/>
      <c r="M108" s="1"/>
      <c r="N108" s="1"/>
      <c r="O108" s="1"/>
      <c r="P108" s="102"/>
      <c r="Q108" s="1"/>
      <c r="R108" s="1"/>
    </row>
  </sheetData>
  <sheetProtection password="DE7F" sheet="1" selectLockedCells="1"/>
  <mergeCells count="150">
    <mergeCell ref="A101:C101"/>
    <mergeCell ref="J101:O101"/>
    <mergeCell ref="B103:G104"/>
    <mergeCell ref="N103:O104"/>
    <mergeCell ref="G14:O14"/>
    <mergeCell ref="P95:P96"/>
    <mergeCell ref="A96:I96"/>
    <mergeCell ref="A97:D97"/>
    <mergeCell ref="O97:O99"/>
    <mergeCell ref="P97:P98"/>
    <mergeCell ref="I98:I99"/>
    <mergeCell ref="J98:J99"/>
    <mergeCell ref="K98:K99"/>
    <mergeCell ref="M98:M99"/>
    <mergeCell ref="N98:N99"/>
    <mergeCell ref="F92:G92"/>
    <mergeCell ref="F93:G93"/>
    <mergeCell ref="N93:O93"/>
    <mergeCell ref="F94:G94"/>
    <mergeCell ref="N94:O94"/>
    <mergeCell ref="F95:G95"/>
    <mergeCell ref="N95:N97"/>
    <mergeCell ref="O95:O96"/>
    <mergeCell ref="F87:G87"/>
    <mergeCell ref="F88:G88"/>
    <mergeCell ref="N88:O88"/>
    <mergeCell ref="F89:G89"/>
    <mergeCell ref="F90:G90"/>
    <mergeCell ref="F91:G91"/>
    <mergeCell ref="N81:O82"/>
    <mergeCell ref="A83:C83"/>
    <mergeCell ref="F83:G83"/>
    <mergeCell ref="F84:G84"/>
    <mergeCell ref="F85:G85"/>
    <mergeCell ref="F86:G86"/>
    <mergeCell ref="A80:E80"/>
    <mergeCell ref="I80:L80"/>
    <mergeCell ref="N80:O80"/>
    <mergeCell ref="A81:E82"/>
    <mergeCell ref="F81:G82"/>
    <mergeCell ref="I81:I82"/>
    <mergeCell ref="J81:J82"/>
    <mergeCell ref="K81:K82"/>
    <mergeCell ref="L81:L82"/>
    <mergeCell ref="M81:M82"/>
    <mergeCell ref="K69:K70"/>
    <mergeCell ref="M69:M70"/>
    <mergeCell ref="N69:N70"/>
    <mergeCell ref="A72:C72"/>
    <mergeCell ref="A75:G75"/>
    <mergeCell ref="A77:G77"/>
    <mergeCell ref="I77:O77"/>
    <mergeCell ref="F66:G66"/>
    <mergeCell ref="N66:N68"/>
    <mergeCell ref="O66:O67"/>
    <mergeCell ref="P66:P67"/>
    <mergeCell ref="A67:I67"/>
    <mergeCell ref="A68:D68"/>
    <mergeCell ref="O68:O70"/>
    <mergeCell ref="P68:P69"/>
    <mergeCell ref="I69:I70"/>
    <mergeCell ref="J69:J70"/>
    <mergeCell ref="F62:G62"/>
    <mergeCell ref="F63:G63"/>
    <mergeCell ref="F64:G64"/>
    <mergeCell ref="N64:O64"/>
    <mergeCell ref="F65:G65"/>
    <mergeCell ref="N65:O65"/>
    <mergeCell ref="F57:G57"/>
    <mergeCell ref="F58:G58"/>
    <mergeCell ref="F59:G59"/>
    <mergeCell ref="N59:O59"/>
    <mergeCell ref="F60:G60"/>
    <mergeCell ref="F61:G61"/>
    <mergeCell ref="M52:M53"/>
    <mergeCell ref="N52:O53"/>
    <mergeCell ref="A54:C54"/>
    <mergeCell ref="F54:G54"/>
    <mergeCell ref="F55:G55"/>
    <mergeCell ref="F56:G56"/>
    <mergeCell ref="A52:E53"/>
    <mergeCell ref="F52:G53"/>
    <mergeCell ref="I52:I53"/>
    <mergeCell ref="J52:J53"/>
    <mergeCell ref="K52:K53"/>
    <mergeCell ref="L52:L53"/>
    <mergeCell ref="A43:D43"/>
    <mergeCell ref="I43:O43"/>
    <mergeCell ref="A46:G46"/>
    <mergeCell ref="A48:G48"/>
    <mergeCell ref="I48:O48"/>
    <mergeCell ref="A51:E51"/>
    <mergeCell ref="I51:L51"/>
    <mergeCell ref="N51:O51"/>
    <mergeCell ref="P38:P39"/>
    <mergeCell ref="A39:D39"/>
    <mergeCell ref="I40:I41"/>
    <mergeCell ref="J40:J41"/>
    <mergeCell ref="K40:K41"/>
    <mergeCell ref="M40:M41"/>
    <mergeCell ref="O40:O42"/>
    <mergeCell ref="P40:P41"/>
    <mergeCell ref="A41:B41"/>
    <mergeCell ref="N41:N42"/>
    <mergeCell ref="F35:G35"/>
    <mergeCell ref="F36:G36"/>
    <mergeCell ref="N36:O36"/>
    <mergeCell ref="F37:G37"/>
    <mergeCell ref="N37:O37"/>
    <mergeCell ref="A38:I38"/>
    <mergeCell ref="N38:N40"/>
    <mergeCell ref="O38:O39"/>
    <mergeCell ref="F29:G29"/>
    <mergeCell ref="F30:G30"/>
    <mergeCell ref="F31:G31"/>
    <mergeCell ref="F32:G32"/>
    <mergeCell ref="F33:G33"/>
    <mergeCell ref="F34:G34"/>
    <mergeCell ref="M23:M24"/>
    <mergeCell ref="N23:O24"/>
    <mergeCell ref="F25:L25"/>
    <mergeCell ref="F26:G26"/>
    <mergeCell ref="F27:G27"/>
    <mergeCell ref="F28:G28"/>
    <mergeCell ref="A23:E24"/>
    <mergeCell ref="F23:G24"/>
    <mergeCell ref="I23:I24"/>
    <mergeCell ref="J23:J24"/>
    <mergeCell ref="K23:K24"/>
    <mergeCell ref="L23:L24"/>
    <mergeCell ref="A17:G17"/>
    <mergeCell ref="A19:G19"/>
    <mergeCell ref="A20:G20"/>
    <mergeCell ref="I20:O20"/>
    <mergeCell ref="A22:E22"/>
    <mergeCell ref="I22:L22"/>
    <mergeCell ref="N22:O22"/>
    <mergeCell ref="A10:O10"/>
    <mergeCell ref="B11:O11"/>
    <mergeCell ref="A12:F12"/>
    <mergeCell ref="B13:F13"/>
    <mergeCell ref="G13:O13"/>
    <mergeCell ref="B14:F14"/>
    <mergeCell ref="A1:O1"/>
    <mergeCell ref="A4:C4"/>
    <mergeCell ref="E4:J4"/>
    <mergeCell ref="K4:L4"/>
    <mergeCell ref="N4:O4"/>
    <mergeCell ref="A8:C8"/>
    <mergeCell ref="E8:O8"/>
  </mergeCells>
  <conditionalFormatting sqref="N25 M40">
    <cfRule type="expression" priority="23" dxfId="35" stopIfTrue="1">
      <formula>$A$12="x"</formula>
    </cfRule>
  </conditionalFormatting>
  <conditionalFormatting sqref="O31">
    <cfRule type="cellIs" priority="22" dxfId="36" operator="lessThanOrEqual" stopIfTrue="1">
      <formula>0</formula>
    </cfRule>
  </conditionalFormatting>
  <conditionalFormatting sqref="N54">
    <cfRule type="expression" priority="21" dxfId="35" stopIfTrue="1">
      <formula>$A$12="x"</formula>
    </cfRule>
  </conditionalFormatting>
  <conditionalFormatting sqref="O60">
    <cfRule type="cellIs" priority="20" dxfId="36" operator="lessThanOrEqual" stopIfTrue="1">
      <formula>0</formula>
    </cfRule>
  </conditionalFormatting>
  <conditionalFormatting sqref="N59">
    <cfRule type="containsErrors" priority="19" dxfId="37" stopIfTrue="1">
      <formula>ISERROR(N59)</formula>
    </cfRule>
  </conditionalFormatting>
  <conditionalFormatting sqref="N83">
    <cfRule type="expression" priority="18" dxfId="35" stopIfTrue="1">
      <formula>$A$12="x"</formula>
    </cfRule>
  </conditionalFormatting>
  <conditionalFormatting sqref="O89">
    <cfRule type="cellIs" priority="17" dxfId="36" operator="lessThanOrEqual" stopIfTrue="1">
      <formula>0</formula>
    </cfRule>
  </conditionalFormatting>
  <conditionalFormatting sqref="N88">
    <cfRule type="containsErrors" priority="16" dxfId="37" stopIfTrue="1">
      <formula>ISERROR(N88)</formula>
    </cfRule>
  </conditionalFormatting>
  <conditionalFormatting sqref="N25 N54 N83 J40 J69 J98 N23:O24 N81:O82 N52:O53">
    <cfRule type="expression" priority="15" dxfId="0" stopIfTrue="1">
      <formula>$A$13="x"</formula>
    </cfRule>
  </conditionalFormatting>
  <conditionalFormatting sqref="O66:O67">
    <cfRule type="expression" priority="14" dxfId="38" stopIfTrue="1">
      <formula>$O$66&lt;0</formula>
    </cfRule>
  </conditionalFormatting>
  <conditionalFormatting sqref="O38:O39">
    <cfRule type="expression" priority="13" dxfId="38" stopIfTrue="1">
      <formula>$O$38&lt;0</formula>
    </cfRule>
  </conditionalFormatting>
  <conditionalFormatting sqref="O95:O96">
    <cfRule type="expression" priority="12" dxfId="38" stopIfTrue="1">
      <formula>$O$95&lt;0</formula>
    </cfRule>
  </conditionalFormatting>
  <conditionalFormatting sqref="I23:K24 M23:M24">
    <cfRule type="expression" priority="7" dxfId="0" stopIfTrue="1">
      <formula>$A$13="x"</formula>
    </cfRule>
  </conditionalFormatting>
  <conditionalFormatting sqref="L23:L24">
    <cfRule type="expression" priority="6" dxfId="0" stopIfTrue="1">
      <formula>$A$13="x"</formula>
    </cfRule>
  </conditionalFormatting>
  <conditionalFormatting sqref="I52:K53 M52:M53">
    <cfRule type="expression" priority="5" dxfId="0" stopIfTrue="1">
      <formula>$A$13="x"</formula>
    </cfRule>
  </conditionalFormatting>
  <conditionalFormatting sqref="L52:L53">
    <cfRule type="expression" priority="4" dxfId="0" stopIfTrue="1">
      <formula>$A$13="x"</formula>
    </cfRule>
  </conditionalFormatting>
  <conditionalFormatting sqref="I81:K82">
    <cfRule type="expression" priority="3" dxfId="0" stopIfTrue="1">
      <formula>$A$13="x"</formula>
    </cfRule>
  </conditionalFormatting>
  <conditionalFormatting sqref="L81:L82">
    <cfRule type="expression" priority="2" dxfId="0" stopIfTrue="1">
      <formula>$A$13="x"</formula>
    </cfRule>
  </conditionalFormatting>
  <conditionalFormatting sqref="M81:M82">
    <cfRule type="expression" priority="1" dxfId="0" stopIfTrue="1">
      <formula>$A$13="x"</formula>
    </cfRule>
  </conditionalFormatting>
  <dataValidations count="3">
    <dataValidation type="list" allowBlank="1" showInputMessage="1" showErrorMessage="1" sqref="E71 E42 E100">
      <formula1>cp</formula1>
    </dataValidation>
    <dataValidation type="list" allowBlank="1" showInputMessage="1" showErrorMessage="1" sqref="E55:E66 E26:E37 E84:E95">
      <formula1>jours_ouvrables</formula1>
    </dataValidation>
    <dataValidation type="list" allowBlank="1" showInputMessage="1" showErrorMessage="1" sqref="G51 G22 G80 O33 O91 O62">
      <formula1>oui_non</formula1>
    </dataValidation>
  </dataValidations>
  <printOptions/>
  <pageMargins left="0.007629107981220657" right="0.005642361111111111" top="0" bottom="0" header="0" footer="0"/>
  <pageSetup fitToHeight="0" fitToWidth="1" horizontalDpi="300" verticalDpi="300" orientation="portrait" paperSize="9" scale="50" r:id="rId4"/>
  <colBreaks count="1" manualBreakCount="1">
    <brk id="15" max="10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7:M36"/>
  <sheetViews>
    <sheetView showGridLines="0" zoomScalePageLayoutView="0" workbookViewId="0" topLeftCell="A1">
      <selection activeCell="D26" sqref="D26"/>
    </sheetView>
  </sheetViews>
  <sheetFormatPr defaultColWidth="12" defaultRowHeight="11.25"/>
  <cols>
    <col min="1" max="1" width="3.16015625" style="0" customWidth="1"/>
    <col min="2" max="2" width="18.16015625" style="0" customWidth="1"/>
    <col min="7" max="7" width="12.16015625" style="0" customWidth="1"/>
  </cols>
  <sheetData>
    <row r="1" ht="3.75" customHeight="1"/>
    <row r="9" ht="2.25" customHeight="1"/>
    <row r="10" ht="0.75" customHeight="1"/>
    <row r="17" ht="9" customHeight="1" thickBot="1">
      <c r="B17" s="90"/>
    </row>
    <row r="18" spans="2:13" ht="12.75" customHeight="1" thickBot="1">
      <c r="B18" s="328" t="s">
        <v>56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91"/>
    </row>
    <row r="19" spans="2:13" ht="51.75" customHeight="1" thickBot="1">
      <c r="B19" s="330" t="s">
        <v>57</v>
      </c>
      <c r="C19" s="331"/>
      <c r="D19" s="92">
        <v>39</v>
      </c>
      <c r="E19" s="92">
        <v>40</v>
      </c>
      <c r="F19" s="92">
        <v>41</v>
      </c>
      <c r="G19" s="92">
        <v>42</v>
      </c>
      <c r="H19" s="92">
        <v>43</v>
      </c>
      <c r="I19" s="92">
        <v>44</v>
      </c>
      <c r="J19" s="92">
        <v>45</v>
      </c>
      <c r="K19" s="92">
        <v>46</v>
      </c>
      <c r="L19" s="92">
        <v>47</v>
      </c>
      <c r="M19" s="92">
        <v>48</v>
      </c>
    </row>
    <row r="20" spans="2:13" ht="40.5" customHeight="1" thickBot="1">
      <c r="B20" s="332" t="s">
        <v>58</v>
      </c>
      <c r="C20" s="333"/>
      <c r="D20" s="93">
        <v>0.375</v>
      </c>
      <c r="E20" s="93">
        <v>1</v>
      </c>
      <c r="F20" s="93">
        <v>1.625</v>
      </c>
      <c r="G20" s="93">
        <v>2.25</v>
      </c>
      <c r="H20" s="93">
        <v>2.875</v>
      </c>
      <c r="I20" s="93">
        <v>3.5</v>
      </c>
      <c r="J20" s="93">
        <v>4.125</v>
      </c>
      <c r="K20" s="93">
        <v>4.75</v>
      </c>
      <c r="L20" s="93">
        <v>5.375</v>
      </c>
      <c r="M20" s="93">
        <v>6</v>
      </c>
    </row>
    <row r="21" ht="4.5" customHeight="1"/>
    <row r="22" spans="2:12" ht="15.75">
      <c r="B22" s="334" t="s">
        <v>59</v>
      </c>
      <c r="C22" s="335"/>
      <c r="D22" s="335"/>
      <c r="E22" s="335"/>
      <c r="F22" s="336"/>
      <c r="H22" s="337" t="s">
        <v>74</v>
      </c>
      <c r="I22" s="338"/>
      <c r="J22" s="338"/>
      <c r="K22" s="338"/>
      <c r="L22" s="339"/>
    </row>
    <row r="23" ht="3" customHeight="1"/>
    <row r="24" spans="2:13" ht="15">
      <c r="B24" s="337" t="s">
        <v>60</v>
      </c>
      <c r="C24" s="338"/>
      <c r="D24" s="338"/>
      <c r="E24" s="339"/>
      <c r="F24" s="94" t="s">
        <v>61</v>
      </c>
      <c r="H24" s="340" t="s">
        <v>60</v>
      </c>
      <c r="I24" s="341"/>
      <c r="J24" s="341"/>
      <c r="K24" s="341"/>
      <c r="L24" s="342"/>
      <c r="M24" s="94"/>
    </row>
    <row r="25" ht="4.5" customHeight="1"/>
    <row r="26" spans="2:11" ht="15">
      <c r="B26" s="86" t="s">
        <v>71</v>
      </c>
      <c r="C26" s="86" t="s">
        <v>62</v>
      </c>
      <c r="D26" s="95"/>
      <c r="E26" s="96">
        <f>IF(OR(D26=48,D26=49,D26=50,D26=51,D26=52),6,IF(OR(ISBLANK(D26),D26&lt;39),0,((D26-38.5)/4)*2.5+0.0625))</f>
        <v>0</v>
      </c>
      <c r="H26" s="86" t="s">
        <v>71</v>
      </c>
      <c r="I26" s="86" t="s">
        <v>62</v>
      </c>
      <c r="J26" s="95"/>
      <c r="K26" s="96">
        <f>IF(OR(J26=48,J26=49,J26=50,J26=51,J26=52),6,IF(OR(ISBLANK(J26),J26&lt;39),0,((J26-38.5)/4)*2.5+0.0625))</f>
        <v>0</v>
      </c>
    </row>
    <row r="27" spans="6:11" ht="4.5" customHeight="1">
      <c r="F27" s="94"/>
      <c r="H27" s="135"/>
      <c r="I27" s="135"/>
      <c r="J27" s="135"/>
      <c r="K27" s="135"/>
    </row>
    <row r="28" spans="2:11" ht="15">
      <c r="B28" s="86" t="s">
        <v>72</v>
      </c>
      <c r="C28" s="86" t="s">
        <v>62</v>
      </c>
      <c r="D28" s="95"/>
      <c r="E28" s="96">
        <f>IF(OR(D28=48,D28=49,D28=50,D28=51,D28=52),6,IF(OR(ISBLANK(D28),D28&lt;39),0,((D28-38.5)/4)*2.5+0.0625))</f>
        <v>0</v>
      </c>
      <c r="H28" s="86" t="s">
        <v>72</v>
      </c>
      <c r="I28" s="86" t="s">
        <v>62</v>
      </c>
      <c r="J28" s="95"/>
      <c r="K28" s="96">
        <f>IF(OR(J28=48,J28=49,J28=50,J28=51,J28=52),6,IF(OR(ISBLANK(J28),J28&lt;39),0,((J28-38.5)/4)*2.5+0.0625))</f>
        <v>0</v>
      </c>
    </row>
    <row r="29" spans="6:11" ht="3.75" customHeight="1">
      <c r="F29" s="94"/>
      <c r="H29" s="135"/>
      <c r="I29" s="135"/>
      <c r="J29" s="135"/>
      <c r="K29" s="135"/>
    </row>
    <row r="30" spans="2:11" ht="15">
      <c r="B30" s="86" t="s">
        <v>73</v>
      </c>
      <c r="C30" s="86" t="s">
        <v>62</v>
      </c>
      <c r="D30" s="95"/>
      <c r="E30" s="96">
        <f>IF(OR(D30=48,D30=49,D30=50,D30=51,D30=52),6,IF(OR(ISBLANK(D30),D30&lt;39),0,((D30-38.5)/4)*2.5+0.0625))</f>
        <v>0</v>
      </c>
      <c r="H30" s="86" t="s">
        <v>73</v>
      </c>
      <c r="I30" s="86" t="s">
        <v>62</v>
      </c>
      <c r="J30" s="95"/>
      <c r="K30" s="96">
        <f>IF(OR(J30=48,J30=49,J30=50,J30=51,J30=52),6,IF(OR(ISBLANK(J30),J30&lt;39),0,((J30-38.5)/4)*2.5+0.0625))</f>
        <v>0</v>
      </c>
    </row>
    <row r="32" ht="9.75" hidden="1"/>
    <row r="33" ht="9.75" hidden="1"/>
    <row r="34" ht="9.75" hidden="1"/>
    <row r="35" ht="9.75" hidden="1"/>
    <row r="36" ht="11.25" customHeight="1" hidden="1">
      <c r="J36" t="s">
        <v>61</v>
      </c>
    </row>
    <row r="37" ht="11.25" customHeight="1" hidden="1"/>
    <row r="38" ht="11.25" customHeight="1" hidden="1"/>
    <row r="39" ht="11.25" customHeight="1" hidden="1"/>
    <row r="40" ht="11.25" customHeight="1" hidden="1"/>
    <row r="41" ht="11.25" customHeight="1" hidden="1"/>
    <row r="42" ht="11.25" customHeight="1" hidden="1"/>
    <row r="43" ht="11.25" customHeight="1" hidden="1"/>
    <row r="44" ht="11.25" customHeight="1" hidden="1"/>
    <row r="45" ht="11.25" customHeight="1" hidden="1"/>
    <row r="46" ht="11.25" customHeight="1" hidden="1"/>
  </sheetData>
  <sheetProtection password="DE7F" sheet="1" selectLockedCells="1"/>
  <mergeCells count="7">
    <mergeCell ref="B18:L18"/>
    <mergeCell ref="B19:C19"/>
    <mergeCell ref="B20:C20"/>
    <mergeCell ref="B22:F22"/>
    <mergeCell ref="B24:E24"/>
    <mergeCell ref="H22:L22"/>
    <mergeCell ref="H24:L2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"/>
  <sheetViews>
    <sheetView zoomScalePageLayoutView="0" workbookViewId="0" topLeftCell="Q1">
      <selection activeCell="W28" sqref="W28"/>
    </sheetView>
  </sheetViews>
  <sheetFormatPr defaultColWidth="12" defaultRowHeight="11.25"/>
  <sheetData>
    <row r="1" spans="1:37" ht="9.75">
      <c r="A1">
        <v>0</v>
      </c>
      <c r="B1" t="s">
        <v>2</v>
      </c>
      <c r="I1">
        <v>1</v>
      </c>
      <c r="T1">
        <v>0</v>
      </c>
      <c r="AK1">
        <v>0</v>
      </c>
    </row>
    <row r="2" spans="1:37" ht="9.75">
      <c r="A2">
        <v>1</v>
      </c>
      <c r="B2" t="s">
        <v>3</v>
      </c>
      <c r="I2">
        <v>2</v>
      </c>
      <c r="T2">
        <v>1</v>
      </c>
      <c r="AK2">
        <v>2.5</v>
      </c>
    </row>
    <row r="3" spans="1:20" ht="9.75">
      <c r="A3">
        <v>2</v>
      </c>
      <c r="I3">
        <v>3</v>
      </c>
      <c r="T3">
        <v>2</v>
      </c>
    </row>
    <row r="4" ht="9.75">
      <c r="T4">
        <v>3</v>
      </c>
    </row>
    <row r="5" ht="9.75">
      <c r="T5">
        <v>4</v>
      </c>
    </row>
    <row r="6" ht="9.75">
      <c r="T6">
        <v>5</v>
      </c>
    </row>
    <row r="7" ht="9.75">
      <c r="T7">
        <v>6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Congés payés</dc:title>
  <dc:subject/>
  <dc:creator>ANAMAAF-SUPNAAFAM-UNSA</dc:creator>
  <cp:keywords/>
  <dc:description/>
  <cp:lastModifiedBy>Patrice</cp:lastModifiedBy>
  <cp:lastPrinted>2019-04-02T13:05:23Z</cp:lastPrinted>
  <dcterms:created xsi:type="dcterms:W3CDTF">2011-10-19T07:06:28Z</dcterms:created>
  <dcterms:modified xsi:type="dcterms:W3CDTF">2022-09-01T16:53:53Z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